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91" windowWidth="19320" windowHeight="12585" tabRatio="832" activeTab="1"/>
  </bookViews>
  <sheets>
    <sheet name="Eco indicator Points" sheetId="1" r:id="rId1"/>
    <sheet name="EI99 Simple Calculations" sheetId="2" r:id="rId2"/>
    <sheet name="Rad Metals for SimaPro" sheetId="3" r:id="rId3"/>
    <sheet name="Packages" sheetId="4" r:id="rId4"/>
    <sheet name="Boiler Data" sheetId="5" r:id="rId5"/>
    <sheet name="Boiler Disposal&amp;Recycling" sheetId="6" r:id="rId6"/>
    <sheet name="All Wastes" sheetId="7" r:id="rId7"/>
    <sheet name="Metal Wastes" sheetId="8" r:id="rId8"/>
    <sheet name="Reactor Data" sheetId="9" r:id="rId9"/>
    <sheet name="Radioactivity" sheetId="10" r:id="rId10"/>
    <sheet name="Early SimaPro Results" sheetId="11" r:id="rId11"/>
    <sheet name="International distances" sheetId="12" r:id="rId12"/>
  </sheets>
  <definedNames>
    <definedName name="_xlnm.Print_Area" localSheetId="10">'Early SimaPro Results'!$A$1:$AI$101</definedName>
    <definedName name="_xlnm.Print_Area" localSheetId="3">'Packages'!$A$1:$L$143</definedName>
    <definedName name="_xlnm.Print_Area" localSheetId="9">'Radioactivity'!$A$1:$Q$110</definedName>
  </definedNames>
  <calcPr fullCalcOnLoad="1"/>
</workbook>
</file>

<file path=xl/sharedStrings.xml><?xml version="1.0" encoding="utf-8"?>
<sst xmlns="http://schemas.openxmlformats.org/spreadsheetml/2006/main" count="3692" uniqueCount="1440">
  <si>
    <t>Springfields VLLW Metals from 2010 UKRWI</t>
  </si>
  <si>
    <t>Berkeley Gas Ducts</t>
  </si>
  <si>
    <t>Gas Duct Packages</t>
  </si>
  <si>
    <t>Total Gas Duct Conditioned Vol (m3)</t>
  </si>
  <si>
    <t>Conditioned Vol per Gas Duct Package (m3)</t>
  </si>
  <si>
    <t>Total Gas Duct Packaged Vol (m3)</t>
  </si>
  <si>
    <t>Total Gas Duct Volume Disposal Cost (£)</t>
  </si>
  <si>
    <t>Sub Total Cost for Gas Ducts to Drigg (£)</t>
  </si>
  <si>
    <r>
      <t>Total Transport Cost (£) Worst Case</t>
    </r>
    <r>
      <rPr>
        <b/>
        <i/>
        <vertAlign val="superscript"/>
        <sz val="10"/>
        <rFont val="Arial"/>
        <family val="2"/>
      </rPr>
      <t>1</t>
    </r>
  </si>
  <si>
    <t>Mass Disposal</t>
  </si>
  <si>
    <t>Added 30/5/12 to resolve a modelling oversight</t>
  </si>
  <si>
    <t>Updated 30/5/12 to resolve a modelling oversight</t>
  </si>
  <si>
    <t>Material EI99 (mPt/kg)</t>
  </si>
  <si>
    <t>Material Score (Pt)</t>
  </si>
  <si>
    <t>Minimum mass disposal</t>
  </si>
  <si>
    <t>Maxium mass disposal</t>
  </si>
  <si>
    <t>BerkeleyGas Duct package grouting cement for disposal</t>
  </si>
  <si>
    <t>Berkeley boiler package grouting cement for disposal</t>
  </si>
  <si>
    <r>
      <t>Berkeley gas duct packages, 4m box lid seals</t>
    </r>
    <r>
      <rPr>
        <i/>
        <vertAlign val="superscript"/>
        <sz val="10"/>
        <rFont val="Arial"/>
        <family val="2"/>
      </rPr>
      <t>2</t>
    </r>
  </si>
  <si>
    <r>
      <t>Berkeley gas duct packages, 4m box welding</t>
    </r>
    <r>
      <rPr>
        <i/>
        <vertAlign val="superscript"/>
        <sz val="10"/>
        <rFont val="Arial"/>
        <family val="2"/>
      </rPr>
      <t>1</t>
    </r>
  </si>
  <si>
    <t>Berkeley gas duct packages, 4m box sheet pressing (80%)</t>
  </si>
  <si>
    <t>Berkeley gas duct packages, 4m box sheet production</t>
  </si>
  <si>
    <t>1- The transport cost for the 4 WAGR boilers is unknown but likely to be several times this simple estimate due to the heavy load, special arrangements and special vehicle</t>
  </si>
  <si>
    <t>Metals Waste</t>
  </si>
  <si>
    <t>The boilers are all LLW carbon steel (i.e. Mild Steel)</t>
  </si>
  <si>
    <t>Metal Mass (tonne)</t>
  </si>
  <si>
    <t>Berkeley Boilers</t>
  </si>
  <si>
    <t>Cement Density (kg/m3)</t>
  </si>
  <si>
    <t>Boiler Example, WAGR and Berkeley</t>
  </si>
  <si>
    <t>brazing material</t>
  </si>
  <si>
    <t>Gross Mass (kg)</t>
  </si>
  <si>
    <t>Max Waste Mass (kg)</t>
  </si>
  <si>
    <r>
      <t>Internal Volume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</si>
  <si>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External Volume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</si>
  <si>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Wall Thickness (mm)</t>
  </si>
  <si>
    <t>Wall thickness range 2.3 to 2.9mm</t>
  </si>
  <si>
    <r>
      <t>Conditioned Volume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</si>
  <si>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Ave condition vol per container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</si>
  <si>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Waste Stream 2E191</t>
  </si>
  <si>
    <t>Waste streams 2E90+2E91+2E191</t>
  </si>
  <si>
    <t>Waste Streams 2E90+2E91+2E191</t>
  </si>
  <si>
    <r>
      <t>Packaged Volume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</si>
  <si>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Ave packed vol per container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</si>
  <si>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3m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box rounded corners</t>
    </r>
  </si>
  <si>
    <r>
      <t>3m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box square corners</t>
    </r>
  </si>
  <si>
    <r>
      <t>3m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drum</t>
    </r>
  </si>
  <si>
    <t>Ref Total</t>
  </si>
  <si>
    <t>Other Material Total Mass (tonnes)</t>
  </si>
  <si>
    <t>Total Metal Mass (tonne)</t>
  </si>
  <si>
    <t>Total Non-Metal Mass (tonne)</t>
  </si>
  <si>
    <t>LLW is Total LLW - VLLW</t>
  </si>
  <si>
    <t>2 - Shielded drum assumed SS</t>
  </si>
  <si>
    <t>Comments</t>
  </si>
  <si>
    <t>Assume 500l Drum based on Ave Pack. Vol.</t>
  </si>
  <si>
    <t>Assume HHISO based Ave Packaged vol.</t>
  </si>
  <si>
    <t>SS (500l Drum)</t>
  </si>
  <si>
    <t>MS (HHISO)</t>
  </si>
  <si>
    <t>No. Packages</t>
  </si>
  <si>
    <r>
      <t>MS (HHISO)</t>
    </r>
    <r>
      <rPr>
        <vertAlign val="superscript"/>
        <sz val="10"/>
        <rFont val="Arial"/>
        <family val="2"/>
      </rPr>
      <t>5</t>
    </r>
  </si>
  <si>
    <t>5 - Assumed Vault 8 &amp; 9 were HHISO</t>
  </si>
  <si>
    <r>
      <t>3m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Drum</t>
    </r>
  </si>
  <si>
    <t>Ditto</t>
  </si>
  <si>
    <t>MaximumCost (£)</t>
  </si>
  <si>
    <t>Minimum Cost (£)</t>
  </si>
  <si>
    <t>4m Box, no shielding</t>
  </si>
  <si>
    <t>4m Box, 200mm shielding</t>
  </si>
  <si>
    <t>4m Box, 300mm shielding</t>
  </si>
  <si>
    <t>Ditto, concrete internal shielding</t>
  </si>
  <si>
    <t>SS &amp; Concrete</t>
  </si>
  <si>
    <t>Concrete Shielding Mass (kg)</t>
  </si>
  <si>
    <t>To be estimated</t>
  </si>
  <si>
    <t>2m Box, 300mm shielding</t>
  </si>
  <si>
    <t>2m Box, no shielding</t>
  </si>
  <si>
    <t>Ductile Cast Iron Container, Type VI Box</t>
  </si>
  <si>
    <t>Ductile Cast Iron</t>
  </si>
  <si>
    <t>Ductile Cast Iron Container, Type II Mosaik Flask min shielding</t>
  </si>
  <si>
    <t>Ductile Cast Iron Container, Type II Mosaik Flask max shielding</t>
  </si>
  <si>
    <t>Ductile Cast Iron &amp; Concrete</t>
  </si>
  <si>
    <r>
      <t>Cast Iron</t>
    </r>
    <r>
      <rPr>
        <vertAlign val="superscript"/>
        <sz val="10"/>
        <rFont val="Arial"/>
        <family val="2"/>
      </rPr>
      <t>7</t>
    </r>
  </si>
  <si>
    <r>
      <t>Cast Iron</t>
    </r>
    <r>
      <rPr>
        <vertAlign val="superscript"/>
        <sz val="10"/>
        <rFont val="Arial"/>
        <family val="2"/>
      </rPr>
      <t>8</t>
    </r>
  </si>
  <si>
    <t>7 - Assume Type VI Box</t>
  </si>
  <si>
    <t>8 - Assume Mosaik Flask</t>
  </si>
  <si>
    <t>2m box shielding (1.1m3)</t>
  </si>
  <si>
    <t>4m box shielding (3.0m3)</t>
  </si>
  <si>
    <t>4m box shielding (5.5m3)</t>
  </si>
  <si>
    <t>4m box shielding (8.4m3)</t>
  </si>
  <si>
    <t>9 - Rough estimate only 3x100mm casting</t>
  </si>
  <si>
    <t>10 - Rough estimate only 1.5x100mm casting</t>
  </si>
  <si>
    <r>
      <t>MS THISO</t>
    </r>
    <r>
      <rPr>
        <vertAlign val="superscript"/>
        <sz val="10"/>
        <rFont val="Arial"/>
        <family val="2"/>
      </rPr>
      <t>4</t>
    </r>
  </si>
  <si>
    <t>4 - Standard skip assumed MS and THISO vol</t>
  </si>
  <si>
    <r>
      <t>SS 3m3 box</t>
    </r>
    <r>
      <rPr>
        <vertAlign val="superscript"/>
        <sz val="10"/>
        <rFont val="Arial"/>
        <family val="2"/>
      </rPr>
      <t>3</t>
    </r>
  </si>
  <si>
    <r>
      <t>SS 3m3 box</t>
    </r>
    <r>
      <rPr>
        <vertAlign val="superscript"/>
        <sz val="10"/>
        <rFont val="Arial"/>
        <family val="2"/>
      </rPr>
      <t>1</t>
    </r>
  </si>
  <si>
    <t>1 - MBGWS box not yet specified, assumed SS and 3m3 box vol</t>
  </si>
  <si>
    <t>Cast Iton</t>
  </si>
  <si>
    <t>Details not yet known</t>
  </si>
  <si>
    <t>Not clear which type of container</t>
  </si>
  <si>
    <t>ILW Shielding Overpacks</t>
  </si>
  <si>
    <t>On Site Handling &amp; Storage</t>
  </si>
  <si>
    <t>Concrete</t>
  </si>
  <si>
    <t>As Waste Package</t>
  </si>
  <si>
    <t>Rough data only, needs confirmed</t>
  </si>
  <si>
    <r>
      <t>GDF &amp; NSNSF overpack for 3m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box</t>
    </r>
  </si>
  <si>
    <t>Option 1 for Nothing Specified, All 200l drums</t>
  </si>
  <si>
    <r>
      <t>Mild Steel</t>
    </r>
    <r>
      <rPr>
        <b/>
        <vertAlign val="superscript"/>
        <sz val="10"/>
        <color indexed="10"/>
        <rFont val="Arial"/>
        <family val="2"/>
      </rPr>
      <t>12</t>
    </r>
  </si>
  <si>
    <r>
      <t>MS THISO</t>
    </r>
    <r>
      <rPr>
        <b/>
        <vertAlign val="superscript"/>
        <sz val="10"/>
        <color indexed="10"/>
        <rFont val="Arial"/>
        <family val="2"/>
      </rPr>
      <t>4</t>
    </r>
  </si>
  <si>
    <t>Maximum Env Load (EI99 (mPt)</t>
  </si>
  <si>
    <t>Use</t>
  </si>
  <si>
    <t>Disposal</t>
  </si>
  <si>
    <t>Metals</t>
  </si>
  <si>
    <t>Metal Mass (kg)</t>
  </si>
  <si>
    <t>Total Al Env Load (EI99 (mPt))</t>
  </si>
  <si>
    <t>Rolling sub total LAW</t>
  </si>
  <si>
    <t>VLLW</t>
  </si>
  <si>
    <t>Copper ILW</t>
  </si>
  <si>
    <t>Copper LLW</t>
  </si>
  <si>
    <t>Copper VLLW</t>
  </si>
  <si>
    <t>Generic ILW</t>
  </si>
  <si>
    <t>Generic LLW</t>
  </si>
  <si>
    <t>Generic VLLW</t>
  </si>
  <si>
    <t>Stainless Steel ILW</t>
  </si>
  <si>
    <t>SS Surface Contam LLW</t>
  </si>
  <si>
    <t>SS Volume Contam LLW</t>
  </si>
  <si>
    <t>Used for fuel flask seals, so presumed will be needed for ILW/LLW packages</t>
  </si>
  <si>
    <t>Total SS Env Load (EI99 (mPt))</t>
  </si>
  <si>
    <t>Total MS Env Load (EI99 (mPt))</t>
  </si>
  <si>
    <t>Total Zn Env Load (EI99 (mPt))</t>
  </si>
  <si>
    <t>Comment</t>
  </si>
  <si>
    <t>Total Gen Env Load (EI99 (mPt))</t>
  </si>
  <si>
    <t>Production</t>
  </si>
  <si>
    <t>WAGR</t>
  </si>
  <si>
    <t>Unknown</t>
  </si>
  <si>
    <t>Stainess Steel VLLW</t>
  </si>
  <si>
    <t>Steel (Other) ILW</t>
  </si>
  <si>
    <t>MS Surface Contam LLW</t>
  </si>
  <si>
    <t>MS Volume Contam LLW</t>
  </si>
  <si>
    <t>Steel (Other) VLLW</t>
  </si>
  <si>
    <t>Lead ILW</t>
  </si>
  <si>
    <t>Lead LLW</t>
  </si>
  <si>
    <t>Lead VLLW</t>
  </si>
  <si>
    <t>Nickel ILW</t>
  </si>
  <si>
    <t>Nickel LLW</t>
  </si>
  <si>
    <t>Nickel VLLW</t>
  </si>
  <si>
    <t>Per dm3 removed material without production of lost material</t>
  </si>
  <si>
    <t>Bending Steel</t>
  </si>
  <si>
    <t>One sheet of 1mm over width of 1 metre; bending 900</t>
  </si>
  <si>
    <t>Use as initial input for package construction</t>
  </si>
  <si>
    <t>Use as initial input for cutting metals ?, and package construction</t>
  </si>
  <si>
    <t>Use as initial input for mechanical deconam ?, and package construction</t>
  </si>
  <si>
    <t>Cold roll into sheet</t>
  </si>
  <si>
    <t>Stainless Steel</t>
  </si>
  <si>
    <t>Other steels</t>
  </si>
  <si>
    <t>Magnox</t>
  </si>
  <si>
    <t>Aluminium</t>
  </si>
  <si>
    <t>Zircaloy</t>
  </si>
  <si>
    <t>Other metals</t>
  </si>
  <si>
    <t>Metal</t>
  </si>
  <si>
    <t>ILW Mass (tonne)</t>
  </si>
  <si>
    <t>LLW Mass (tonnes)</t>
  </si>
  <si>
    <t>Copper</t>
  </si>
  <si>
    <t>1 assumed that the boxes are brazed, perimeter distance x 2.5 mm preparation length x 6mm plate thickness</t>
  </si>
  <si>
    <t>EPDM</t>
  </si>
  <si>
    <t>2 assume 2 seal, 10mm diameter, outer seal 100mm in form edge, inner seal 15mm further inboard)</t>
  </si>
  <si>
    <t>Negligible</t>
  </si>
  <si>
    <t>500l Drum</t>
  </si>
  <si>
    <t>Not clear what these are</t>
  </si>
  <si>
    <t>Total LAW</t>
  </si>
  <si>
    <t>De minimus</t>
  </si>
  <si>
    <t>De minimus</t>
  </si>
  <si>
    <t>Min Mass</t>
  </si>
  <si>
    <t>250te</t>
  </si>
  <si>
    <t>214te</t>
  </si>
  <si>
    <t>at 0.4Bq/g</t>
  </si>
  <si>
    <t>Max Mass</t>
  </si>
  <si>
    <t>Total Metals Mass (tonne)</t>
  </si>
  <si>
    <t>Total Waste Mass (tonne)</t>
  </si>
  <si>
    <t>Valid for primary steel only</t>
  </si>
  <si>
    <t>Municipal waste Aluminium</t>
  </si>
  <si>
    <t>ILW Packages</t>
  </si>
  <si>
    <t>Mass Per Package (kg)</t>
  </si>
  <si>
    <r>
      <t>Stainless Steel</t>
    </r>
    <r>
      <rPr>
        <vertAlign val="superscript"/>
        <sz val="10"/>
        <rFont val="Arial"/>
        <family val="2"/>
      </rPr>
      <t>6</t>
    </r>
  </si>
  <si>
    <t>6 - Assumed all 500l drums the same and include mixer</t>
  </si>
  <si>
    <t>Block material containing only primary steel</t>
  </si>
  <si>
    <t>Electro Steel</t>
  </si>
  <si>
    <t>Block material containing only secondary scrap</t>
  </si>
  <si>
    <t>Use for recycled rad steel</t>
  </si>
  <si>
    <t>Steel</t>
  </si>
  <si>
    <t>Block material containing 80% primary iron, 20% scrap</t>
  </si>
  <si>
    <t>Steel High Alloy</t>
  </si>
  <si>
    <t>Block material containing 71% primary iron,16%Cr, 13% Ni</t>
  </si>
  <si>
    <t>Use for ILW packages</t>
  </si>
  <si>
    <t>Steel Low Alloy</t>
  </si>
  <si>
    <t>Block material containing 93% primary iron, 5% scrap, 1% alloy metals</t>
  </si>
  <si>
    <t>Use for LLW packages, initially</t>
  </si>
  <si>
    <t>Use for LLW paclages, for sensitivity</t>
  </si>
  <si>
    <t>Aluminium 100% Rec.</t>
  </si>
  <si>
    <t>Block containing only secondary material</t>
  </si>
  <si>
    <t>Aluminium 0% Rec.</t>
  </si>
  <si>
    <t>Block containing only primary material</t>
  </si>
  <si>
    <t>Copper</t>
  </si>
  <si>
    <t>Lead</t>
  </si>
  <si>
    <t>Tests of HHISO Transport for WAGR Boilers Packaged Disposal (Revised EMPTY)</t>
  </si>
  <si>
    <t>35 from LLWR</t>
  </si>
  <si>
    <t>35 from Humberside</t>
  </si>
  <si>
    <t>48 from Humberside</t>
  </si>
  <si>
    <t>75 from Humberside</t>
  </si>
  <si>
    <t>Empty tkm</t>
  </si>
  <si>
    <t>Full tkm</t>
  </si>
  <si>
    <t>Boiler tkm</t>
  </si>
  <si>
    <t>Total tkm</t>
  </si>
  <si>
    <t>Empty Pt</t>
  </si>
  <si>
    <t>Full Pt</t>
  </si>
  <si>
    <t>Boiler Pt</t>
  </si>
  <si>
    <t>Eco pt/tkm</t>
  </si>
  <si>
    <t>Block containing 50% secondary lead</t>
  </si>
  <si>
    <t>Nickel enriched</t>
  </si>
  <si>
    <t xml:space="preserve">Zinc </t>
  </si>
  <si>
    <t>Block containing only primary material (plating quality)</t>
  </si>
  <si>
    <r>
      <t xml:space="preserve">Production of non ferro metals (in millipoints per kg) </t>
    </r>
    <r>
      <rPr>
        <sz val="10"/>
        <rFont val="Arial"/>
        <family val="0"/>
      </rPr>
      <t>{Ditto}</t>
    </r>
  </si>
  <si>
    <r>
      <t>Processing of metals (in millipoints)</t>
    </r>
    <r>
      <rPr>
        <sz val="10"/>
        <rFont val="Arial"/>
        <family val="0"/>
      </rPr>
      <t xml:space="preserve"> {Ditto}</t>
    </r>
  </si>
  <si>
    <t>Brazing</t>
  </si>
  <si>
    <t>3 - WAGR box not yet specified, assumed SS and 3m3 box vol</t>
  </si>
  <si>
    <t>11 Assume ave normal concrete density (kg/m3)</t>
  </si>
  <si>
    <t>200l Drum</t>
  </si>
  <si>
    <r>
      <t>Mild Steel</t>
    </r>
    <r>
      <rPr>
        <vertAlign val="superscript"/>
        <sz val="10"/>
        <rFont val="Arial"/>
        <family val="2"/>
      </rPr>
      <t>12</t>
    </r>
  </si>
  <si>
    <t>12 Assume the 200l drums are 100kg empty</t>
  </si>
  <si>
    <t>Package Total Mass (kg)</t>
  </si>
  <si>
    <r>
      <t>Concrete</t>
    </r>
    <r>
      <rPr>
        <vertAlign val="superscript"/>
        <sz val="10"/>
        <color indexed="12"/>
        <rFont val="Arial"/>
        <family val="2"/>
      </rPr>
      <t>11</t>
    </r>
  </si>
  <si>
    <r>
      <t>2m box shielding (3m3)</t>
    </r>
    <r>
      <rPr>
        <vertAlign val="superscript"/>
        <sz val="10"/>
        <color indexed="12"/>
        <rFont val="Arial"/>
        <family val="2"/>
      </rPr>
      <t>9</t>
    </r>
  </si>
  <si>
    <r>
      <t>2m box shielding (1.65m3)</t>
    </r>
    <r>
      <rPr>
        <vertAlign val="superscript"/>
        <sz val="10"/>
        <color indexed="12"/>
        <rFont val="Arial"/>
        <family val="2"/>
      </rPr>
      <t>10</t>
    </r>
  </si>
  <si>
    <t>Building and grout</t>
  </si>
  <si>
    <t>ILW Env Load (EI99 (mPt))</t>
  </si>
  <si>
    <t>LLW Env Load (EI99 (mPt))</t>
  </si>
  <si>
    <t>VLLW Env Load (EI99 (mPt))</t>
  </si>
  <si>
    <t>Total Env Load (EI99 (mPt))</t>
  </si>
  <si>
    <t>LLW</t>
  </si>
  <si>
    <t>4m box 300mm shielding</t>
  </si>
  <si>
    <t>4m box no shielding</t>
  </si>
  <si>
    <t>500l drum</t>
  </si>
  <si>
    <t>500l drum with basket</t>
  </si>
  <si>
    <t>Bentonite</t>
  </si>
  <si>
    <t>Used for cat litter, porcelain etc</t>
  </si>
  <si>
    <t>Buffer for ILW/HLW stores</t>
  </si>
  <si>
    <t>Ethylene oxide/glycol</t>
  </si>
  <si>
    <t>Used as industrial solvent and cleaning agent</t>
  </si>
  <si>
    <t>Use for a degreaser</t>
  </si>
  <si>
    <t>Fuel Diesel</t>
  </si>
  <si>
    <t>Production of fuel only, combustion excluded</t>
  </si>
  <si>
    <t>As a base for rail, road and sea journey fuels</t>
  </si>
  <si>
    <t>H2SO4</t>
  </si>
  <si>
    <t>Embodied Energy And CO2 Footprint for Recycling</t>
  </si>
  <si>
    <t>Embodied Energy And CO2 Footprint for Primary Production</t>
  </si>
  <si>
    <t>Embodied Energy (Recycling) (TJ)</t>
  </si>
  <si>
    <t>Embodied Energy (Production) (TJ)</t>
  </si>
  <si>
    <t>CO2 Footprint (Recycling) (Mkg)</t>
  </si>
  <si>
    <t>CO2 Footprint (Production) (Mkg)</t>
  </si>
  <si>
    <t>Sulphuric acid, used for cleaning and staining</t>
  </si>
  <si>
    <t>Chemical cleaning/decontamination</t>
  </si>
  <si>
    <t>Eco Indicator 99 Europe H/A</t>
  </si>
  <si>
    <t>Direct Disposal (Pt)</t>
  </si>
  <si>
    <t>Packaged Disposal (Pt)</t>
  </si>
  <si>
    <t>Bulk Recycling (Pt)</t>
  </si>
  <si>
    <t>Containerised Recycling (Pt)</t>
  </si>
  <si>
    <t>ReCipE Europe H/A</t>
  </si>
  <si>
    <t>Comparison of Net Life Cycle Impact for ECI99 and ReCiPe Excluding Avoided Metal Benefit</t>
  </si>
  <si>
    <t>Climate Change Human Health</t>
  </si>
  <si>
    <t>Ozone Depletion</t>
  </si>
  <si>
    <t>Human Toxicity</t>
  </si>
  <si>
    <t>Photochemical Oxidant</t>
  </si>
  <si>
    <t>Particule Matter</t>
  </si>
  <si>
    <t>Ionising Radiation</t>
  </si>
  <si>
    <t>Climate Change Eco-system</t>
  </si>
  <si>
    <t>Terrestrial Acidification</t>
  </si>
  <si>
    <t>Freshwater Eutrophication</t>
  </si>
  <si>
    <t>Terrestrial Ecotoxicity</t>
  </si>
  <si>
    <t>Freshwater Ecotoxicity</t>
  </si>
  <si>
    <t>Marine Ecotoxicity</t>
  </si>
  <si>
    <t>Agric. Land Occupation</t>
  </si>
  <si>
    <t>Urban Land Occupation</t>
  </si>
  <si>
    <t>Nat. Lan  Transformation</t>
  </si>
  <si>
    <t>Lead</t>
  </si>
  <si>
    <t>Zinc</t>
  </si>
  <si>
    <t>Nickel</t>
  </si>
  <si>
    <t>{This was the last UKRWI with these metals explicitly identified}</t>
  </si>
  <si>
    <t>Metal</t>
  </si>
  <si>
    <t>Stainless Steel</t>
  </si>
  <si>
    <t>VLLW</t>
  </si>
  <si>
    <r>
      <t>Stainless Steel</t>
    </r>
    <r>
      <rPr>
        <vertAlign val="superscript"/>
        <sz val="10"/>
        <rFont val="Arial"/>
        <family val="2"/>
      </rPr>
      <t>2</t>
    </r>
  </si>
  <si>
    <t>Total waste mass (tonne)</t>
  </si>
  <si>
    <t>Total metal waste mass (tonne)</t>
  </si>
  <si>
    <t>Total Waste Volume (m3)</t>
  </si>
  <si>
    <t>Stream 2E90 Mass (tonne)</t>
  </si>
  <si>
    <t>Stream 2E91 Mass (tonne)</t>
  </si>
  <si>
    <t>Stream 2E191 Mass (tonne)</t>
  </si>
  <si>
    <t xml:space="preserve"> Total </t>
  </si>
  <si>
    <t>Comparison of Eco Indicator 99 Impact Category Results Excluding Avoided Metal Benefit</t>
  </si>
  <si>
    <t>Product Stage</t>
  </si>
  <si>
    <t>HHISO Steel</t>
  </si>
  <si>
    <t>HHISO Production</t>
  </si>
  <si>
    <t>Road Transport</t>
  </si>
  <si>
    <t>Sea Transport</t>
  </si>
  <si>
    <t>Treatment</t>
  </si>
  <si>
    <t>Melting</t>
  </si>
  <si>
    <t>Secondary Waste</t>
  </si>
  <si>
    <t>Recycling  Avoided Metal</t>
  </si>
  <si>
    <t>Grout</t>
  </si>
  <si>
    <t>Backfill</t>
  </si>
  <si>
    <t>Direct Disposal EI 99</t>
  </si>
  <si>
    <t>Direct Disposal ReCiPe</t>
  </si>
  <si>
    <t>Packaged Disposal EI 99</t>
  </si>
  <si>
    <t>Packaged Disposal ReCiPe</t>
  </si>
  <si>
    <t>Bulk Recycling EI 99</t>
  </si>
  <si>
    <t>Bulk Recycling ReCiPe</t>
  </si>
  <si>
    <t>Containerised Recycling EI99</t>
  </si>
  <si>
    <t>Containerised Recycling ReCiPe</t>
  </si>
  <si>
    <t>Comparison of Material and Process Impacts for 4 Reference Disposition Scenarios for EI99 and ReCiPe Including Avoided Metal Benefit</t>
  </si>
  <si>
    <t>Comparison of Material and Process Impacts for 4 Reference Disposition Scenarios for EI99 and ReCiPe Excluding Avoided Metal Benefit</t>
  </si>
  <si>
    <t>HCL</t>
  </si>
  <si>
    <t>Hydochloric acid, used for processing metals and cleaning</t>
  </si>
  <si>
    <t>NAOH</t>
  </si>
  <si>
    <t>Caustic Soda</t>
  </si>
  <si>
    <t>Cleaning and neutralisiation</t>
  </si>
  <si>
    <t>Nitric Acid</t>
  </si>
  <si>
    <t>Per thickness reduction of 1 mm of 1m2 plate</t>
  </si>
  <si>
    <t>Pressing</t>
  </si>
  <si>
    <t>Per kg of deformed metal. Do not include non-deformed parts</t>
  </si>
  <si>
    <t>Shearing/stamping steel</t>
  </si>
  <si>
    <t>Per mm2 cutting surface</t>
  </si>
  <si>
    <t>Sheet production</t>
  </si>
  <si>
    <t>per kg production of sheet out of block material</t>
  </si>
  <si>
    <r>
      <t>Production of plastic granulate (in millipoint per kg)</t>
    </r>
    <r>
      <rPr>
        <sz val="10"/>
        <rFont val="Arial"/>
        <family val="0"/>
      </rPr>
      <t xml:space="preserve"> {Ditto}</t>
    </r>
  </si>
  <si>
    <t>ABS</t>
  </si>
  <si>
    <t>HDPE</t>
  </si>
  <si>
    <t>LDPE</t>
  </si>
  <si>
    <t>PA 6.6.</t>
  </si>
  <si>
    <t>PS (GPPS)</t>
  </si>
  <si>
    <t>General purpose</t>
  </si>
  <si>
    <t>PVC</t>
  </si>
  <si>
    <t>Flexible</t>
  </si>
  <si>
    <t>An assortment to try for VLLW and LLW wrapping</t>
  </si>
  <si>
    <t>Per kg of brazing including brazing material (45% silver, 27%copper, 25% tin)</t>
  </si>
  <si>
    <t>Milling, turning, drilling</t>
  </si>
  <si>
    <t>Zinc ILW</t>
  </si>
  <si>
    <t>Zinc LLW</t>
  </si>
  <si>
    <t>Zinc VLLW</t>
  </si>
  <si>
    <t>Other Steel</t>
  </si>
  <si>
    <t>Stainless Steel</t>
  </si>
  <si>
    <t>Copper</t>
  </si>
  <si>
    <t>Lead</t>
  </si>
  <si>
    <t>Zinc</t>
  </si>
  <si>
    <t>Nickel</t>
  </si>
  <si>
    <t>Aluminium ILW</t>
  </si>
  <si>
    <t>Aluminium LLW</t>
  </si>
  <si>
    <t>Aluminium VLLW</t>
  </si>
  <si>
    <t>ILW</t>
  </si>
  <si>
    <t>VLLW and LLW</t>
  </si>
  <si>
    <t>Almost inert material in landfill, indicator can be used for ferro metals</t>
  </si>
  <si>
    <t>Municipal waste ECCS Steel</t>
  </si>
  <si>
    <t>Mild Steel</t>
  </si>
  <si>
    <t>Berkely NDA</t>
  </si>
  <si>
    <t>NDA Insight 28 Nov 2011</t>
  </si>
  <si>
    <t>Package</t>
  </si>
  <si>
    <t>4m Box</t>
  </si>
  <si>
    <t>Total No. of Packages</t>
  </si>
  <si>
    <t>Low voltage (&lt;1000v)</t>
  </si>
  <si>
    <t>Truck 28t</t>
  </si>
  <si>
    <t>Road transport with 40% load (European average including return)</t>
  </si>
  <si>
    <t>Truck 40t</t>
  </si>
  <si>
    <t>Road transport with 50% load (European average including return)</t>
  </si>
  <si>
    <t>General deliveries</t>
  </si>
  <si>
    <t>LLW packages, heavy haulage</t>
  </si>
  <si>
    <t>Water transport with 70% load (European average including return)</t>
  </si>
  <si>
    <t>Freighter inland</t>
  </si>
  <si>
    <t>Freighter oceanic</t>
  </si>
  <si>
    <t>To USA</t>
  </si>
  <si>
    <t>To Europe, Scandinavia and Russian Federation</t>
  </si>
  <si>
    <t>Recycling Aluminium</t>
  </si>
  <si>
    <t>Recycling avoids primary aluminium (60 for Process, -780 Avoided)</t>
  </si>
  <si>
    <t xml:space="preserve">HNO3, used for staining metal </t>
  </si>
  <si>
    <t>Used for decontamination of aluminium fuel skips</t>
  </si>
  <si>
    <t>Cement</t>
  </si>
  <si>
    <t>Portland cement</t>
  </si>
  <si>
    <t>Massive building</t>
  </si>
  <si>
    <t>Rough estimate of a (concrete) building per m3 volume (capital goods)</t>
  </si>
  <si>
    <t>Metal Construction Bld</t>
  </si>
  <si>
    <t>Rough estimate of a building per m3 volume (capital goods)</t>
  </si>
  <si>
    <t>ILW Store building (e.g. Hunterston A)</t>
  </si>
  <si>
    <t>ILW Store building (e.g. Trawsfynydd, Berkeley, Chapelcross etc)</t>
  </si>
  <si>
    <t>Elec, MV Europe (UCPTE)</t>
  </si>
  <si>
    <t>Medium voltage (1kv - 24Kv)</t>
  </si>
  <si>
    <t>Metal Depletion</t>
  </si>
  <si>
    <t>Fossil Depletion</t>
  </si>
  <si>
    <t>0,218</t>
  </si>
  <si>
    <r>
      <t>Impact Category</t>
    </r>
    <r>
      <rPr>
        <sz val="10"/>
        <rFont val="Times New Roman"/>
        <family val="1"/>
      </rPr>
      <t xml:space="preserve">              ReCiPe Europe H/A</t>
    </r>
  </si>
  <si>
    <r>
      <t xml:space="preserve">Impact Category            </t>
    </r>
    <r>
      <rPr>
        <sz val="10"/>
        <color indexed="8"/>
        <rFont val="Times New Roman"/>
        <family val="1"/>
      </rPr>
      <t xml:space="preserve"> Eco Indicator 99</t>
    </r>
  </si>
  <si>
    <t>Comparison of ReCiPe Impact Category Results Including Avoided Metal Benefit</t>
  </si>
  <si>
    <t>Comparison of Eco Indicator 99 Impact Category Results Including Avoided Metal Benefit</t>
  </si>
  <si>
    <t>Comparison of ReCiPe Impact Category Results Excluding Avoided Metal Benefit</t>
  </si>
  <si>
    <t>2m box 150mm shielding NDA</t>
  </si>
  <si>
    <t>3m3 box rounded corners</t>
  </si>
  <si>
    <t>3m3 box square corners</t>
  </si>
  <si>
    <t>3m3 drum</t>
  </si>
  <si>
    <t>3m3 drum rounded corners</t>
  </si>
  <si>
    <t>4m box 100mm shielding</t>
  </si>
  <si>
    <t>4m box 200mm shielding</t>
  </si>
  <si>
    <t>Land Use</t>
  </si>
  <si>
    <t>Occupation as urban land per m2year</t>
  </si>
  <si>
    <t>Berkeley Boiler Metal</t>
  </si>
  <si>
    <t>Berkeley Boiler Gas Duct Metal</t>
  </si>
  <si>
    <t>No. of Boxes</t>
  </si>
  <si>
    <t>Berkeley Boiler + Gas Ducts</t>
  </si>
  <si>
    <t>Box Envelope (m3)</t>
  </si>
  <si>
    <t>Volume Disposal costs per box (£)</t>
  </si>
  <si>
    <t>Total Volume Disposal Cost (£)</t>
  </si>
  <si>
    <t>Total Transport Costs (£)</t>
  </si>
  <si>
    <t>Average Transport Cost (£/per trip)</t>
  </si>
  <si>
    <t>Radionuclide Cost (£)</t>
  </si>
  <si>
    <t>Total Disposal Cost (£)</t>
  </si>
  <si>
    <t>Baseline Berkeley Boiler Disposal Costs</t>
  </si>
  <si>
    <r>
      <t>Individual Package Cost (£)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0"/>
      </rPr>
      <t xml:space="preserve">  </t>
    </r>
  </si>
  <si>
    <t>Amended Berkeley Boiler Disposal Costs</t>
  </si>
  <si>
    <r>
      <t>Volume Dosposal Cost (£/m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) </t>
    </r>
  </si>
  <si>
    <r>
      <t>Volume Dosposal Cost (£/m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0"/>
      </rPr>
      <t xml:space="preserve"> </t>
    </r>
  </si>
  <si>
    <t>Note b: Assume this is the price of disposal for 2013/14 from LLWR Ltd Service Price List 1/4/12</t>
  </si>
  <si>
    <r>
      <t>Individual Package Cost (£)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 xml:space="preserve">  </t>
    </r>
  </si>
  <si>
    <t>Note c: Assume this is the HHISO cost for 2013/14 from the LLWR Ltd Service Price List 1/4/12</t>
  </si>
  <si>
    <t>Note a: Assume that the 4m box is made of mild steel for this disposal and costs the same as a HHISO from LLWR Ltd Service Pricing Overview 2011</t>
  </si>
  <si>
    <r>
      <t>Average Transport Cost (£/per trip)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0"/>
      </rPr>
      <t xml:space="preserve"> </t>
    </r>
  </si>
  <si>
    <t>Note d: Assume that the travel distance is 260 from Berkeley to Drigg and transport costs £2/km (33.22/mile) from DEFRA et al 2006 LLW Policy consultation</t>
  </si>
  <si>
    <t>For ILW, LLW, VLLW disposal facilities</t>
  </si>
  <si>
    <t>Landfill Aluminium</t>
  </si>
  <si>
    <t>Landfill Steel</t>
  </si>
  <si>
    <t>Pressure forming</t>
  </si>
  <si>
    <t>Per kg</t>
  </si>
  <si>
    <t>Vaccum forming</t>
  </si>
  <si>
    <t>Per kg of material, but without production of material</t>
  </si>
  <si>
    <t>A range of production for VLLW and LLW plastic wrapping</t>
  </si>
  <si>
    <t>EPDM</t>
  </si>
  <si>
    <t>Vulcanised with 44% carbon, including molding</t>
  </si>
  <si>
    <t>Indicator</t>
  </si>
  <si>
    <t>Description</t>
  </si>
  <si>
    <t>Material</t>
  </si>
  <si>
    <t>Cast Iron</t>
  </si>
  <si>
    <t>Cast iron with &gt;2% carbon compound</t>
  </si>
  <si>
    <t>Own Comments</t>
  </si>
  <si>
    <t>Use for DCICs in first instance</t>
  </si>
  <si>
    <t>Converter Steel</t>
  </si>
  <si>
    <t>Almost inert material in landfill, indicator is valid for primary and recycled Al</t>
  </si>
  <si>
    <t xml:space="preserve">Containerised Recycling </t>
  </si>
  <si>
    <t>ReCiPe 2008 Europe H/A</t>
  </si>
  <si>
    <t>Recovery (te)</t>
  </si>
  <si>
    <t>Low Scrap Price (£/te)</t>
  </si>
  <si>
    <t>High Scrap Price (£/te)</t>
  </si>
  <si>
    <t>Unspecified ILW</t>
  </si>
  <si>
    <t>Unspecified LLW</t>
  </si>
  <si>
    <t>Unspecified VLLW</t>
  </si>
  <si>
    <t>Low Value Recovered Metals (£m)</t>
  </si>
  <si>
    <t>High Value Recovered Metals (£m)</t>
  </si>
  <si>
    <r>
      <t xml:space="preserve">Production of ferro metals (in millipoints per kg) </t>
    </r>
    <r>
      <rPr>
        <sz val="10"/>
        <rFont val="Arial"/>
        <family val="0"/>
      </rPr>
      <t>{from Eco Indicator 99 Manual for Designers (VROM 2000}</t>
    </r>
  </si>
  <si>
    <t>Direct Disposal - 4 WAGR Boilers</t>
  </si>
  <si>
    <t>Packaged Disposal - 4 WAGR Boilers</t>
  </si>
  <si>
    <t>Basic Data</t>
  </si>
  <si>
    <t>Recycling - 4 WAGR Boilers</t>
  </si>
  <si>
    <t>SimaPro Nuclear Waste Metals</t>
  </si>
  <si>
    <t>UK Scrap Metal Prices at 2015</t>
  </si>
  <si>
    <t>ILW Package Data</t>
  </si>
  <si>
    <t>LLW Package Data</t>
  </si>
  <si>
    <t>2010 UKWRI ILW Packages for Total Waste</t>
  </si>
  <si>
    <t>2010 UKWRI LLW Packages for Total Waste</t>
  </si>
  <si>
    <t>2010 UKWRI VLLW Packages for Total Waste</t>
  </si>
  <si>
    <t>Empty Container Eco Indicator 99 Results August 2013</t>
  </si>
  <si>
    <t>Boiler Data per Magnox Stations and WAGR</t>
  </si>
  <si>
    <t>RECYCLING - WAGR Boilers</t>
  </si>
  <si>
    <t>DISPOSAL -  WAGR Boilers</t>
  </si>
  <si>
    <t>E.O.L. - WAGR Boilers</t>
  </si>
  <si>
    <t>USE - WAGR Boilers</t>
  </si>
  <si>
    <t>PRODUCTION - WAGR Boilers</t>
  </si>
  <si>
    <t>RECYCLING- Berkeley Boilers</t>
  </si>
  <si>
    <t>DISPOSAL - All Berkeley Boilers</t>
  </si>
  <si>
    <t>E.O.L. - Berkeley Boilers</t>
  </si>
  <si>
    <t>USE - Berkeley Boilers</t>
  </si>
  <si>
    <t>PRODUCTION - Berkeley Boilers</t>
  </si>
  <si>
    <t xml:space="preserve">The embodied energy and CO2 for recycling taken from Ashby 2009 Chapter 12 </t>
  </si>
  <si>
    <t>Power Station Reactor Data</t>
  </si>
  <si>
    <t>Package Data for Reactor Waste</t>
  </si>
  <si>
    <t>Comparison of Net Life Cycle Impact for EI99 and ReCiPe Including Avoided Metal Benefit</t>
  </si>
  <si>
    <t>General industrial electricity before step down on sites</t>
  </si>
  <si>
    <t>Electricity Great Britain</t>
  </si>
  <si>
    <t>LLW SS volume contam</t>
  </si>
  <si>
    <t>LLW MS surface contam</t>
  </si>
  <si>
    <t>LLW SS surface contam</t>
  </si>
  <si>
    <t>LLW MS volume contam</t>
  </si>
  <si>
    <t>VLLW Mass (tonne)</t>
  </si>
  <si>
    <t>%LLW as VLLW</t>
  </si>
  <si>
    <t>{These are the only clearly specified HV VLLW waste, therefore subtracted from LLW}</t>
  </si>
  <si>
    <t>Type</t>
  </si>
  <si>
    <t>2m box 100mm shielding</t>
  </si>
  <si>
    <t>Total No.</t>
  </si>
  <si>
    <t>2m box 300mm shielding</t>
  </si>
  <si>
    <t>2m box no shielding</t>
  </si>
  <si>
    <t>LLWR Ltd, 2011b, "Waste Services Contract, Service Pricing - Overview", WSC-SPR-OVR-Version 2 - January 2011</t>
  </si>
  <si>
    <t>Vol disp charge LLWR Ltd 2011b p15</t>
  </si>
  <si>
    <t>LLWR Ltd 2011d WSC-WAC-LOW V2 p17</t>
  </si>
  <si>
    <t>For grouting LLWR Ltd 2011d p16</t>
  </si>
  <si>
    <t>Max Usage LLWR Ltd2011b p15</t>
  </si>
  <si>
    <t>Ave Usage LLWR Ltd 2011b p15</t>
  </si>
  <si>
    <t>LLWR Ltd, 2011d, "Waste Services Contract, Waste Acceptance Criteria - Low Level Waste Disposal", WSC-WAC-LOW-Version 2 - January 2011</t>
  </si>
  <si>
    <t>Stainless Steel</t>
  </si>
  <si>
    <t>Mild Steel</t>
  </si>
  <si>
    <t>Metal waste fraction</t>
  </si>
  <si>
    <t>ILW</t>
  </si>
  <si>
    <t>LLW</t>
  </si>
  <si>
    <t>VLLW is Springfields data</t>
  </si>
  <si>
    <t>Comment</t>
  </si>
  <si>
    <t>Total Boiler Vol (m3)</t>
  </si>
  <si>
    <t>Total Duct Vol (m3)</t>
  </si>
  <si>
    <t>Total Boiler Mass (t)</t>
  </si>
  <si>
    <t>Total Duct Mass (t)</t>
  </si>
  <si>
    <t>Number of Boilers</t>
  </si>
  <si>
    <t>Mass Per Boiler (t)</t>
  </si>
  <si>
    <t>Product or Component</t>
  </si>
  <si>
    <t>UK Rad Waste</t>
  </si>
  <si>
    <t>All Waste</t>
  </si>
  <si>
    <t>N Kemp</t>
  </si>
  <si>
    <t>ILW Mass (tonne)</t>
  </si>
  <si>
    <t>Name</t>
  </si>
  <si>
    <t>Waste Type</t>
  </si>
  <si>
    <t>Amount (tonne)</t>
  </si>
  <si>
    <t>Ammount (kg)</t>
  </si>
  <si>
    <t>Whole Boiler</t>
  </si>
  <si>
    <r>
      <t>Total Transport Cost (£) Worst Case</t>
    </r>
    <r>
      <rPr>
        <b/>
        <vertAlign val="superscript"/>
        <sz val="10"/>
        <rFont val="Arial"/>
        <family val="2"/>
      </rPr>
      <t>2</t>
    </r>
  </si>
  <si>
    <t>4 assumes 6 x 4.2tonne packages delivered by 28t Truck, 50% load</t>
  </si>
  <si>
    <t>5 assumes 1 x 30.3tonne packages delivered by 40t Truck, 50% load</t>
  </si>
  <si>
    <t>3 - Distance between Berkeley and Drigg estimated using AA-route planner, also assumes empty package distance is the same</t>
  </si>
  <si>
    <t>Grouted for disposal at Drigg</t>
  </si>
  <si>
    <t>No grouting needed</t>
  </si>
  <si>
    <t>I need to decide if I include the packaging in disposal or if that would be double counting.</t>
  </si>
  <si>
    <t>N/A, WAGR boilers disposed whole to Drigg</t>
  </si>
  <si>
    <t>4m box sheet production - avoided</t>
  </si>
  <si>
    <t>4m box sheet pressing (80%) - avoided</t>
  </si>
  <si>
    <t>4m box welding - avoided</t>
  </si>
  <si>
    <t>4m box seals - avoided</t>
  </si>
  <si>
    <t>Package Mass (kg)</t>
  </si>
  <si>
    <t>4m box no shielded - material avoided</t>
  </si>
  <si>
    <t>500l drum precast annulus</t>
  </si>
  <si>
    <t>500l drum purpose built</t>
  </si>
  <si>
    <t>Ductile Cast Iron Containers</t>
  </si>
  <si>
    <t>Cast Iron Drum</t>
  </si>
  <si>
    <t>HHISO</t>
  </si>
  <si>
    <t>MBGWS box</t>
  </si>
  <si>
    <t>Sellafield 3m3 box</t>
  </si>
  <si>
    <t>Sellafield Enhanced 3m3 box</t>
  </si>
  <si>
    <t>Shielded 500l drum</t>
  </si>
  <si>
    <t>THISO</t>
  </si>
  <si>
    <t>WAGR box</t>
  </si>
  <si>
    <t>Nothing specified</t>
  </si>
  <si>
    <t>Total</t>
  </si>
  <si>
    <t>N/A</t>
  </si>
  <si>
    <t>Childs.W.H.J., 1972, "Physical Constants Ninth (SI( Edition)", Chapman and Hall, Science Paperbacks, Camelot Press, London</t>
  </si>
  <si>
    <t>% Vol Ducting (m3)</t>
  </si>
  <si>
    <t>Bulk Density (t/m3)</t>
  </si>
  <si>
    <t>Valid for primary aluminium only</t>
  </si>
  <si>
    <t>For Al recycling as an initial starting point</t>
  </si>
  <si>
    <t>Recycling ferro metals</t>
  </si>
  <si>
    <t>Recycling avoids primary steel prod (24 for Process, -94 Avoided)</t>
  </si>
  <si>
    <t>For Steel recycling as an initial starting point</t>
  </si>
  <si>
    <r>
      <t xml:space="preserve">Recycling of waste (in millipoint per kg) </t>
    </r>
    <r>
      <rPr>
        <sz val="10"/>
        <rFont val="Arial"/>
        <family val="0"/>
      </rPr>
      <t>{Ditto}</t>
    </r>
  </si>
  <si>
    <r>
      <t xml:space="preserve">Landfill Controlled landfill site 78% of municipal waste in Europe is to landfill </t>
    </r>
    <r>
      <rPr>
        <sz val="10"/>
        <rFont val="Arial"/>
        <family val="0"/>
      </rPr>
      <t>{Ditto}</t>
    </r>
  </si>
  <si>
    <r>
      <t xml:space="preserve">Municipal waste </t>
    </r>
    <r>
      <rPr>
        <sz val="10"/>
        <rFont val="Arial"/>
        <family val="0"/>
      </rPr>
      <t>{Ditto}</t>
    </r>
  </si>
  <si>
    <t>For initial production, if needed</t>
  </si>
  <si>
    <t>Process or Material Value</t>
  </si>
  <si>
    <t>To be decided</t>
  </si>
  <si>
    <t>Loading disposal packages for boilers</t>
  </si>
  <si>
    <t>Loading disposal packages for gas ducts</t>
  </si>
  <si>
    <t>Transport (UK)</t>
  </si>
  <si>
    <r>
      <t xml:space="preserve">Empty packages to Berkeley </t>
    </r>
    <r>
      <rPr>
        <vertAlign val="superscript"/>
        <sz val="10"/>
        <rFont val="Arial"/>
        <family val="2"/>
      </rPr>
      <t>3, 4,5</t>
    </r>
  </si>
  <si>
    <r>
      <t>Full packages to Drigg for disposal</t>
    </r>
    <r>
      <rPr>
        <vertAlign val="superscript"/>
        <sz val="10"/>
        <rFont val="Arial"/>
        <family val="2"/>
      </rPr>
      <t>3,5</t>
    </r>
  </si>
  <si>
    <r>
      <t xml:space="preserve">Empty packages avoided </t>
    </r>
    <r>
      <rPr>
        <b/>
        <vertAlign val="superscript"/>
        <sz val="10"/>
        <color indexed="11"/>
        <rFont val="Arial"/>
        <family val="2"/>
      </rPr>
      <t>3, 4,5</t>
    </r>
  </si>
  <si>
    <r>
      <t>Full packages to Drigg for disposal avoided</t>
    </r>
    <r>
      <rPr>
        <b/>
        <vertAlign val="superscript"/>
        <sz val="10"/>
        <color indexed="11"/>
        <rFont val="Arial"/>
        <family val="2"/>
      </rPr>
      <t>3,5</t>
    </r>
  </si>
  <si>
    <t>ILW Packages (UK)</t>
  </si>
  <si>
    <t>Pre-Treatment Activities (UK)</t>
  </si>
  <si>
    <t>10 Boilers Disposed (UK)</t>
  </si>
  <si>
    <t>Decontaminate gas duct as needed</t>
  </si>
  <si>
    <t>Decontaminate boilers as needed</t>
  </si>
  <si>
    <t>No Eco Indicator for this</t>
  </si>
  <si>
    <t>Material Mass (tonne)</t>
  </si>
  <si>
    <t>Material Mass (kg)</t>
  </si>
  <si>
    <t>Cement</t>
  </si>
  <si>
    <t>Packages for residual waste (based on fraction of total disposal)</t>
  </si>
  <si>
    <t>Sub total ILW</t>
  </si>
  <si>
    <t>Same as total in B9</t>
  </si>
  <si>
    <t>Sub total LLW</t>
  </si>
  <si>
    <t>Sub total VLLW</t>
  </si>
  <si>
    <t>Sub total LAW</t>
  </si>
  <si>
    <t>Boiler Packages</t>
  </si>
  <si>
    <t>Total Conditioned Vol (M3)</t>
  </si>
  <si>
    <t>Total Packaged Vol (m3)</t>
  </si>
  <si>
    <t>Total Boiler Conditioned Vol (m3)</t>
  </si>
  <si>
    <t>Total Boiler Packaged Vol (m3)</t>
  </si>
  <si>
    <t>Packges for Each Boiler</t>
  </si>
  <si>
    <t>Raw waste Volume per Boiler (m3)</t>
  </si>
  <si>
    <t>Packaged Volume Per Boiler (m3)</t>
  </si>
  <si>
    <t>Project</t>
  </si>
  <si>
    <t>Date</t>
  </si>
  <si>
    <t>Author</t>
  </si>
  <si>
    <t>Notes and conclusions</t>
  </si>
  <si>
    <t>LLW Packages</t>
  </si>
  <si>
    <t>From James Carrick and FDL packaging</t>
  </si>
  <si>
    <t>210l Drum</t>
  </si>
  <si>
    <t>Option 1 for Nothing Specified, All 210l drums</t>
  </si>
  <si>
    <t>8x210l (MS) drums</t>
  </si>
  <si>
    <t>LLW &amp; VLLW</t>
  </si>
  <si>
    <t>8x210l Drums</t>
  </si>
  <si>
    <t>VLLW Packages</t>
  </si>
  <si>
    <t>Stainless Steel</t>
  </si>
  <si>
    <t>Stainless Steel</t>
  </si>
  <si>
    <t>Mild Steel</t>
  </si>
  <si>
    <t>Springfields</t>
  </si>
  <si>
    <t>UKRWI 2001</t>
  </si>
  <si>
    <t>UKRWI 2001</t>
  </si>
  <si>
    <t>UKRWI 2001</t>
  </si>
  <si>
    <t>UKRWI 2010 - Springfields</t>
  </si>
  <si>
    <t>UKRWI 2001 - Springfields</t>
  </si>
  <si>
    <t>UKRWI 2010</t>
  </si>
  <si>
    <t>Springfields</t>
  </si>
  <si>
    <t>UKRWI 2010 - Springfields</t>
  </si>
  <si>
    <t>Springfields</t>
  </si>
  <si>
    <t>UKRWI 2001 - Springfields</t>
  </si>
  <si>
    <t>Assume UK road transport costs</t>
  </si>
  <si>
    <t>Assume 100xUK road transport costs for large load</t>
  </si>
  <si>
    <t>Road transport for recycling (UK and Sweden)</t>
  </si>
  <si>
    <t>Trip Transport Cost (£)</t>
  </si>
  <si>
    <t>Sea transport for recycling</t>
  </si>
  <si>
    <t>Assume LLWR ave sea journey costs as special loads</t>
  </si>
  <si>
    <t>Using LLWR ave sea journey costs for Europe</t>
  </si>
  <si>
    <t>Embodied Energy, Recycling (MJ/kg)</t>
  </si>
  <si>
    <t>Recycling Embodied Energy (MJ)</t>
  </si>
  <si>
    <t>CO2 Footprint Recycling (kg/kg)</t>
  </si>
  <si>
    <t>Recycling CO2 Footprint (Kg)</t>
  </si>
  <si>
    <t>Total Al Env Load</t>
  </si>
  <si>
    <t>Total Cu Env Load</t>
  </si>
  <si>
    <t>Total Pb Env Load</t>
  </si>
  <si>
    <t>Total Ni Env Load</t>
  </si>
  <si>
    <t>Total Gen Env Load</t>
  </si>
  <si>
    <t>Total SS Env Load</t>
  </si>
  <si>
    <t>Total MS Env Load</t>
  </si>
  <si>
    <t>Total Zn Env Load</t>
  </si>
  <si>
    <t>Other Metals ILW (assume low carbon steel)</t>
  </si>
  <si>
    <t>Steel (Other) ILW (Low carbon and low alloyed steel)</t>
  </si>
  <si>
    <t xml:space="preserve">The embodied energy and CO2 for recycling were taken from Ashby 2009 Chapter 12 </t>
  </si>
  <si>
    <t>Embodied Energy (TJ)</t>
  </si>
  <si>
    <t>CO2 Footprint (Mkg)</t>
  </si>
  <si>
    <t>C02 Footprint (Mkg)</t>
  </si>
  <si>
    <t>Stockholm to Nykoping subtracted, 20x Ave Europe costs, special load - may be low</t>
  </si>
  <si>
    <t>Cement, fraction of the disposed boilers</t>
  </si>
  <si>
    <t>WAGR Box</t>
  </si>
  <si>
    <t>Eco Indicator Value (KPt)</t>
  </si>
  <si>
    <t>Aluminium</t>
  </si>
  <si>
    <t>Total Metals</t>
  </si>
  <si>
    <t>Zinc</t>
  </si>
  <si>
    <t>Eco Indicator (for Metals Packages) (KPt)</t>
  </si>
  <si>
    <t>Berkeley boiler packages, 4m box no shielding (SS)</t>
  </si>
  <si>
    <t>Large Items for direct in vault</t>
  </si>
  <si>
    <t>Not yet determined (ILW)</t>
  </si>
  <si>
    <t>Not specified (ILW)</t>
  </si>
  <si>
    <t>Not yet determined (LLW)</t>
  </si>
  <si>
    <t>LLW Vault 8</t>
  </si>
  <si>
    <t>LLW Vault 9</t>
  </si>
  <si>
    <t>Sub Total</t>
  </si>
  <si>
    <t>FHISO</t>
  </si>
  <si>
    <t>Standard enclosed skip</t>
  </si>
  <si>
    <t>72.5% to 74.9% of all LAW is unspecified packaged HV VLLW</t>
  </si>
  <si>
    <t>2010 UKRWI</t>
  </si>
  <si>
    <t>Station</t>
  </si>
  <si>
    <t>Berkeley</t>
  </si>
  <si>
    <t>Waste Stream</t>
  </si>
  <si>
    <t>9A315</t>
  </si>
  <si>
    <t>Total Waste Vol (m3)</t>
  </si>
  <si>
    <t>% Vol Boilers</t>
  </si>
  <si>
    <t>Berkeley boiler packages</t>
  </si>
  <si>
    <t>Number of 4m boxes avoided (if recycling rate was 1)</t>
  </si>
  <si>
    <t>Avoided packages + Residual waste packages</t>
  </si>
  <si>
    <t>I also need to reduce the transport for these avoided boxes</t>
  </si>
  <si>
    <t>Berkeley Boilers - Total disposal at Drigg</t>
  </si>
  <si>
    <t>Berkely Gas Ducts - Total disposal at Drigg</t>
  </si>
  <si>
    <t>WAGR Boilers - Total disposal at Drigg</t>
  </si>
  <si>
    <t>Berkeley boilers to Sweden for melting</t>
  </si>
  <si>
    <t>Recycling rate (Sweden)</t>
  </si>
  <si>
    <t>Residual waste (UK)</t>
  </si>
  <si>
    <t>Berkeley boilers for disposal at Drigg</t>
  </si>
  <si>
    <t>Packages avoided (UK)</t>
  </si>
  <si>
    <t>Transport (UK) Avoided</t>
  </si>
  <si>
    <t>Number of packages needed for partial disposal</t>
  </si>
  <si>
    <t>Transport costs avoided (£)</t>
  </si>
  <si>
    <t>Equipment</t>
  </si>
  <si>
    <t>Proxy' Process</t>
  </si>
  <si>
    <r>
      <t xml:space="preserve">Production of plastic (in millipoint) </t>
    </r>
    <r>
      <rPr>
        <sz val="10"/>
        <rFont val="Arial"/>
        <family val="0"/>
      </rPr>
      <t>{Ditto}</t>
    </r>
  </si>
  <si>
    <r>
      <t xml:space="preserve">Production of rubbers (in millipoint per kg) </t>
    </r>
    <r>
      <rPr>
        <sz val="10"/>
        <rFont val="Arial"/>
        <family val="0"/>
      </rPr>
      <t>{Ditto}</t>
    </r>
  </si>
  <si>
    <r>
      <t xml:space="preserve">Production of Chemicals and other (in millipoint per kg) </t>
    </r>
    <r>
      <rPr>
        <sz val="10"/>
        <rFont val="Arial"/>
        <family val="0"/>
      </rPr>
      <t>{Ditto}</t>
    </r>
  </si>
  <si>
    <t>Comparison of Total Environmental Impact by Cultural Perspective Without Avoided Metals in Recycling</t>
  </si>
  <si>
    <t>Comparison of Total Environmental Impact by Cultural Perspective With Avoided Metals in Recycling</t>
  </si>
  <si>
    <t>Comparison of Total Weighted Results for Bulk Recycling (Excluding Avoided Metal Benefits) for all Cultural Perspective</t>
  </si>
  <si>
    <t>Comparison of Total Weighted Results for Bulk Recycling (Including Avoided Metal Benefits) for all Cultural Perspective</t>
  </si>
  <si>
    <r>
      <t xml:space="preserve">Production of building material (in millipoint per kg) </t>
    </r>
    <r>
      <rPr>
        <sz val="10"/>
        <rFont val="Arial"/>
        <family val="0"/>
      </rPr>
      <t>{Ditto}</t>
    </r>
  </si>
  <si>
    <r>
      <t xml:space="preserve">Electricity (in millipoint per KWh) </t>
    </r>
    <r>
      <rPr>
        <sz val="10"/>
        <rFont val="Arial"/>
        <family val="0"/>
      </rPr>
      <t>{Ditto}</t>
    </r>
  </si>
  <si>
    <r>
      <t xml:space="preserve">Transport (in millipoint per tkm) </t>
    </r>
    <r>
      <rPr>
        <sz val="10"/>
        <rFont val="Arial"/>
        <family val="0"/>
      </rPr>
      <t>{Ditto}</t>
    </r>
  </si>
  <si>
    <r>
      <t>Hinkley Point A Studsvik</t>
    </r>
    <r>
      <rPr>
        <vertAlign val="superscript"/>
        <sz val="10"/>
        <rFont val="Arial"/>
        <family val="2"/>
      </rPr>
      <t>1</t>
    </r>
  </si>
  <si>
    <r>
      <t>Hunterston A Studsvik</t>
    </r>
    <r>
      <rPr>
        <vertAlign val="superscript"/>
        <sz val="10"/>
        <rFont val="Arial"/>
        <family val="2"/>
      </rPr>
      <t>1</t>
    </r>
  </si>
  <si>
    <r>
      <t>Oldbury Studsvik</t>
    </r>
    <r>
      <rPr>
        <vertAlign val="superscript"/>
        <sz val="10"/>
        <rFont val="Arial"/>
        <family val="2"/>
      </rPr>
      <t>1</t>
    </r>
  </si>
  <si>
    <t>Sizewell A</t>
  </si>
  <si>
    <r>
      <t>Sizewell A Studsvik</t>
    </r>
    <r>
      <rPr>
        <vertAlign val="superscript"/>
        <sz val="10"/>
        <rFont val="Arial"/>
        <family val="2"/>
      </rPr>
      <t>1</t>
    </r>
  </si>
  <si>
    <t>Conditioned Vol per Boiler Package (m3)</t>
  </si>
  <si>
    <t>Drigg Volume Disposal Cost (£m3)</t>
  </si>
  <si>
    <t>Total Boiler Volume Disposal Cost (£)</t>
  </si>
  <si>
    <t>Volume disposal cost per package (£)</t>
  </si>
  <si>
    <t xml:space="preserve">Cost Per Package (assume HHISO) (3) </t>
  </si>
  <si>
    <t>Total Package Cost (£)</t>
  </si>
  <si>
    <t>Ave Transport Costs per package (£)</t>
  </si>
  <si>
    <t>Sub Total Cost for 15 boilers to Drigg (£)</t>
  </si>
  <si>
    <t>Source</t>
  </si>
  <si>
    <t>UKRWI 2010</t>
  </si>
  <si>
    <t>Eco Indicator Low Alloy Steel Value (mPt)</t>
  </si>
  <si>
    <t>Eco Indicator Recycled Ferro Metals Value (mPt)</t>
  </si>
  <si>
    <t>Eco Indicator, Metals Fraction (mPt)</t>
  </si>
  <si>
    <t>Use for recycled radioactive aluminium</t>
  </si>
  <si>
    <t>May need to estimate the value for recycled radioactive Cu ???</t>
  </si>
  <si>
    <t>May need to estimate the value for recycled radioactive Pb ???</t>
  </si>
  <si>
    <t>May need to estimate the value for recycled radioactive Ni ???</t>
  </si>
  <si>
    <t>May need to estimate the value for recycled radioactive Zn ???</t>
  </si>
  <si>
    <t>100% &amp; 0% recycled Al</t>
  </si>
  <si>
    <t>Mild steel load assumed</t>
  </si>
  <si>
    <t xml:space="preserve">Steel and low alloy steel ind. </t>
  </si>
  <si>
    <t>Eco Indicator, Metal Fraction Value (mPt)</t>
  </si>
  <si>
    <t>Boiler wrapping material ( use average plastics data)</t>
  </si>
  <si>
    <t>Baseline WAGR Boiler Disposal Costs</t>
  </si>
  <si>
    <t>HHSIO</t>
  </si>
  <si>
    <t>WAGR Boilers Whole</t>
  </si>
  <si>
    <t>WAGR Boilers Packaged Min</t>
  </si>
  <si>
    <t>WAGR Boilers Packaged Mid</t>
  </si>
  <si>
    <t>WAGR Boilers Packaged Max</t>
  </si>
  <si>
    <t xml:space="preserve">Individual Package Cost (£)e  </t>
  </si>
  <si>
    <t xml:space="preserve">Note e: Assume that at a minimum the additional charge of £5000 overweight charge applies to each whole boiler.  This is likely to be an under estimate. </t>
  </si>
  <si>
    <t>Amended WAGR Boiler Disposal Costs</t>
  </si>
  <si>
    <r>
      <t>Average Transport Cost (£/per trip)</t>
    </r>
    <r>
      <rPr>
        <vertAlign val="superscript"/>
        <sz val="10"/>
        <rFont val="Arial"/>
        <family val="2"/>
      </rPr>
      <t>f</t>
    </r>
    <r>
      <rPr>
        <sz val="10"/>
        <rFont val="Arial"/>
        <family val="0"/>
      </rPr>
      <t xml:space="preserve"> </t>
    </r>
  </si>
  <si>
    <r>
      <t>Average Transport Cost (£/per trip)</t>
    </r>
    <r>
      <rPr>
        <vertAlign val="superscript"/>
        <sz val="10"/>
        <rFont val="Arial"/>
        <family val="2"/>
      </rPr>
      <t>g</t>
    </r>
    <r>
      <rPr>
        <sz val="10"/>
        <rFont val="Arial"/>
        <family val="0"/>
      </rPr>
      <t xml:space="preserve"> </t>
    </r>
  </si>
  <si>
    <t>Note g: Assume that the travel distance is 6 miles and the costs are £3.22/mile from DEFRA et al 2006 LLW policy consultation</t>
  </si>
  <si>
    <t>Note f: Assume that the specialised transport is at least 7 times the cost of the normal transport norm value of £600 per trip</t>
  </si>
  <si>
    <t>5 Boilers Recycled (Transported whole to Sweden)</t>
  </si>
  <si>
    <t>Oldbury boilers/ancillaries</t>
  </si>
  <si>
    <t>Sizewell A boilers/ancillaries</t>
  </si>
  <si>
    <t>Trawsfynydd boilers/ancillaries</t>
  </si>
  <si>
    <t>9C315</t>
  </si>
  <si>
    <t>9D315</t>
  </si>
  <si>
    <t>9F316</t>
  </si>
  <si>
    <t>Berkeley gas duct packages, 4m box no shielding (SS)</t>
  </si>
  <si>
    <t>Eco Indicator (KPt) for all Packages</t>
  </si>
  <si>
    <t>Empty packages to Berkeley</t>
  </si>
  <si>
    <t>Full packages to Drigg for disposal</t>
  </si>
  <si>
    <t>10,000 Years (Bq)</t>
  </si>
  <si>
    <t>1,000 Years (Bq)</t>
  </si>
  <si>
    <t>100,000 Years (Bq)</t>
  </si>
  <si>
    <t>Years</t>
  </si>
  <si>
    <t>Total Boiler Disposal</t>
  </si>
  <si>
    <t>Eco Indicator (KPt) for disposal of all boilers</t>
  </si>
  <si>
    <t>Berkely Gas Ducts</t>
  </si>
  <si>
    <t>WAGR Boilers</t>
  </si>
  <si>
    <t>5 Recycled Boiler Residual Waste Disposed</t>
  </si>
  <si>
    <t>5 Recycled Boiler Residual Waste Grouting</t>
  </si>
  <si>
    <t>Negative sign, steel  avoided</t>
  </si>
  <si>
    <t>5 Recycled Boilers Steel Avoided</t>
  </si>
  <si>
    <t>Transport (UK) for all Boilers Disposed</t>
  </si>
  <si>
    <t>Eco Indicator (KPt) Transport</t>
  </si>
  <si>
    <t>5 Recycled Boiler Road Transport (UK)</t>
  </si>
  <si>
    <t xml:space="preserve">5 Boiler Residual Waste Road Transport (UK) </t>
  </si>
  <si>
    <t>5 Boiler Residual Waste Road Transport (Sweden)</t>
  </si>
  <si>
    <t xml:space="preserve">5 Boiler Sea Transport (UK) </t>
  </si>
  <si>
    <t>5 Boiler Residual Waste Sea Transport from Sweden</t>
  </si>
  <si>
    <t xml:space="preserve">5 Boiler Sea Transport from UK </t>
  </si>
  <si>
    <t>Empty Packages Avoided Transport</t>
  </si>
  <si>
    <t>Full Packages Avoided Transport</t>
  </si>
  <si>
    <t>4m box material avoided</t>
  </si>
  <si>
    <t>4m box sheet production avoided</t>
  </si>
  <si>
    <t>4m box sheet pressing avoided</t>
  </si>
  <si>
    <t>4m box welding avoided</t>
  </si>
  <si>
    <t>4m box seals avoided</t>
  </si>
  <si>
    <t>Option 2 for Nothing Specified, All FHISO</t>
  </si>
  <si>
    <t>Option 3 for Nothing Specified, All standard enclosed skips (THISO)</t>
  </si>
  <si>
    <r>
      <t>SS 3m3 box</t>
    </r>
    <r>
      <rPr>
        <vertAlign val="superscript"/>
        <sz val="10"/>
        <color indexed="10"/>
        <rFont val="Arial"/>
        <family val="2"/>
      </rPr>
      <t>3</t>
    </r>
  </si>
  <si>
    <t>13 Bayliss and Langley p109 indicates the WAGR box is made of steel reinforced concrete</t>
  </si>
  <si>
    <t>Single ILW Packages</t>
  </si>
  <si>
    <t>Single LLW Packages</t>
  </si>
  <si>
    <t>Single VLLW Packages</t>
  </si>
  <si>
    <t>WAGR box to be revised</t>
  </si>
  <si>
    <r>
      <t>WAGR box</t>
    </r>
    <r>
      <rPr>
        <vertAlign val="superscript"/>
        <sz val="10"/>
        <color indexed="10"/>
        <rFont val="Arial"/>
        <family val="2"/>
      </rPr>
      <t>13 to be revised</t>
    </r>
  </si>
  <si>
    <t>WAGR box13 to be revised</t>
  </si>
  <si>
    <t>Eco Indicator Value (Pt)</t>
  </si>
  <si>
    <r>
      <t>MS THISO</t>
    </r>
    <r>
      <rPr>
        <vertAlign val="superscript"/>
        <sz val="10"/>
        <color indexed="10"/>
        <rFont val="Arial"/>
        <family val="2"/>
      </rPr>
      <t>4</t>
    </r>
  </si>
  <si>
    <r>
      <t>Mild Steel</t>
    </r>
    <r>
      <rPr>
        <vertAlign val="superscript"/>
        <sz val="10"/>
        <color indexed="10"/>
        <rFont val="Arial"/>
        <family val="2"/>
      </rPr>
      <t>12</t>
    </r>
  </si>
  <si>
    <r>
      <t>Berkeley Studsvik</t>
    </r>
    <r>
      <rPr>
        <vertAlign val="superscript"/>
        <sz val="10"/>
        <rFont val="Arial"/>
        <family val="2"/>
      </rPr>
      <t>1</t>
    </r>
  </si>
  <si>
    <t>1 Studsvik BPEO, 2006, p36</t>
  </si>
  <si>
    <t>Bradwell</t>
  </si>
  <si>
    <r>
      <t>Bradwell Studsvik</t>
    </r>
    <r>
      <rPr>
        <vertAlign val="superscript"/>
        <sz val="10"/>
        <rFont val="Arial"/>
        <family val="2"/>
      </rPr>
      <t>1</t>
    </r>
  </si>
  <si>
    <t>Chapelcross</t>
  </si>
  <si>
    <t>Calder Hall</t>
  </si>
  <si>
    <t>Calder Hall Studsvik</t>
  </si>
  <si>
    <r>
      <t>Chapelcross Studsvik</t>
    </r>
    <r>
      <rPr>
        <vertAlign val="superscript"/>
        <sz val="10"/>
        <rFont val="Arial"/>
        <family val="2"/>
      </rPr>
      <t>1</t>
    </r>
  </si>
  <si>
    <t>Dungeness</t>
  </si>
  <si>
    <r>
      <t>Dungeness Studsvik</t>
    </r>
    <r>
      <rPr>
        <vertAlign val="superscript"/>
        <sz val="10"/>
        <rFont val="Arial"/>
        <family val="2"/>
      </rPr>
      <t>1</t>
    </r>
  </si>
  <si>
    <t>Hinkley Point A</t>
  </si>
  <si>
    <t>Empty packages to Studsvik, 28t Truck</t>
  </si>
  <si>
    <t>Assume Studsvik to LLWR 1package + waste per delivery</t>
  </si>
  <si>
    <t>Trawsfynydd</t>
  </si>
  <si>
    <r>
      <t>Wylfa Studsvik</t>
    </r>
    <r>
      <rPr>
        <vertAlign val="superscript"/>
        <sz val="10"/>
        <rFont val="Arial"/>
        <family val="2"/>
      </rPr>
      <t>1</t>
    </r>
  </si>
  <si>
    <r>
      <t>Trawsfynydd Studsvik</t>
    </r>
    <r>
      <rPr>
        <vertAlign val="superscript"/>
        <sz val="10"/>
        <rFont val="Arial"/>
        <family val="2"/>
      </rPr>
      <t>1,2</t>
    </r>
  </si>
  <si>
    <r>
      <t>WAGR</t>
    </r>
    <r>
      <rPr>
        <vertAlign val="superscript"/>
        <sz val="10"/>
        <rFont val="Arial"/>
        <family val="2"/>
      </rPr>
      <t>3</t>
    </r>
  </si>
  <si>
    <t>Same as total in C9</t>
  </si>
  <si>
    <t>Eco Indicator (mPt)</t>
  </si>
  <si>
    <t>Need top ensure no double counting</t>
  </si>
  <si>
    <t>A guess,Negligible</t>
  </si>
  <si>
    <t>Assumed brazing, Negligible</t>
  </si>
  <si>
    <t>The Eco Indicator mPt score is an indication of the environmental load</t>
  </si>
  <si>
    <t>Eco Indicator Value (mPt)</t>
  </si>
  <si>
    <t>Eco Indicator Steel Value (mPt)</t>
  </si>
  <si>
    <t>Assumed to be concrete box, Bayliss &amp; Langley p109</t>
  </si>
  <si>
    <r>
      <t>Initial costs as 3m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box,</t>
    </r>
    <r>
      <rPr>
        <b/>
        <sz val="8"/>
        <color indexed="8"/>
        <rFont val="Arial"/>
        <family val="2"/>
      </rPr>
      <t xml:space="preserve"> mass scaled by box mass,need to confirm dimensions,</t>
    </r>
  </si>
  <si>
    <r>
      <t>Max waste mass limited by material and rad levels (</t>
    </r>
    <r>
      <rPr>
        <b/>
        <sz val="8"/>
        <rFont val="Arial"/>
        <family val="2"/>
      </rPr>
      <t>Applies to all</t>
    </r>
    <r>
      <rPr>
        <sz val="8"/>
        <rFont val="Arial"/>
        <family val="2"/>
      </rPr>
      <t>)</t>
    </r>
  </si>
  <si>
    <t>Berkeley Boilers - 10 disposed at Drigg</t>
  </si>
  <si>
    <t>10 boiler packages grouting for disposal</t>
  </si>
  <si>
    <t>5 recycled boilers residual waste mass disposed at Drigg</t>
  </si>
  <si>
    <t>5 recycled boiler residual waste grouting for disposal at Drigg</t>
  </si>
  <si>
    <t>Boiler carbon steel mass recycled (Sweden)</t>
  </si>
  <si>
    <t>Boilers segmented (band saw, gas cutting, etc) (UK &amp; Sweden)</t>
  </si>
  <si>
    <t>Boiler shell decontamination (grit blasing) (Sweden)</t>
  </si>
  <si>
    <t>Boiler tube decontamination (chemical flushing) (Sweden)</t>
  </si>
  <si>
    <t>Metal metling (3.5tonne Induction Furnace) (Sweden)</t>
  </si>
  <si>
    <t>Metal slag crushed (steel rollers) (Sweden)</t>
  </si>
  <si>
    <t>Boiler sea transport Avonmouth to Nykoping (M/S Sigyn - Inland Freighter, UK to Sweden)</t>
  </si>
  <si>
    <t>Boiler road transport to Sharpness (40t Truck, UK)</t>
  </si>
  <si>
    <t>Residual waste road transport Nykoping to Stockholm (40t Truck, Sweden)</t>
  </si>
  <si>
    <t>Residual waste road transport Hull to Drigg (40t truck, UK)</t>
  </si>
  <si>
    <t>Boiler sea transport to Avonmouth (Barge - Inland Freighter, UK)</t>
  </si>
  <si>
    <t>Residual waste sea transport Stockholm to Hull (Inland Freighter, Sweden to UK)</t>
  </si>
  <si>
    <t>9B315</t>
  </si>
  <si>
    <t>Berkeley boilers/ancillaries</t>
  </si>
  <si>
    <t>Bradwell boilers/ancillaries</t>
  </si>
  <si>
    <t>Calder Hall boilers/ancillaries</t>
  </si>
  <si>
    <t>Chapelcross boilers/ancillaries</t>
  </si>
  <si>
    <t>Dungeness boilers/ancillaries</t>
  </si>
  <si>
    <t>Hinkley Point A boilers/ancillaries</t>
  </si>
  <si>
    <t>Hunterston A boilers/ancillaries</t>
  </si>
  <si>
    <t>MS Vol. Cont. LLW</t>
  </si>
  <si>
    <t>Steel Other</t>
  </si>
  <si>
    <t>Eco Indicator for Packages (KPt)</t>
  </si>
  <si>
    <t>Eco Indicator for Metals Packages (KPt)</t>
  </si>
  <si>
    <t>9G315</t>
  </si>
  <si>
    <t>9H315</t>
  </si>
  <si>
    <t>Wylfa (Boilers &amp; Reactors)</t>
  </si>
  <si>
    <t>Wylfa reactors, boilers &amp; ancillaries</t>
  </si>
  <si>
    <t>Package sheet pressing</t>
  </si>
  <si>
    <t>Packages lid seals</t>
  </si>
  <si>
    <t>Berkeley gas duct packages</t>
  </si>
  <si>
    <t>Package sheet production</t>
  </si>
  <si>
    <t>Packages welding</t>
  </si>
  <si>
    <t>Packages sheet pressing</t>
  </si>
  <si>
    <t>Package grouting</t>
  </si>
  <si>
    <t>Eco Indicator (KPt) Boilers</t>
  </si>
  <si>
    <t>10 Boilers Disposed</t>
  </si>
  <si>
    <t>10 Boilers Grouting</t>
  </si>
  <si>
    <t>WAGR Boiler Transport</t>
  </si>
  <si>
    <t>Windscale to Drigg (Road)</t>
  </si>
  <si>
    <t>Oldbury (Boilers &amp; Reactors)</t>
  </si>
  <si>
    <t>9E313</t>
  </si>
  <si>
    <t>9J312</t>
  </si>
  <si>
    <t>2C307</t>
  </si>
  <si>
    <t>2A306</t>
  </si>
  <si>
    <t>Berkeley reactors</t>
  </si>
  <si>
    <t>Bradwell reactors</t>
  </si>
  <si>
    <t>Calder Hall reactors</t>
  </si>
  <si>
    <t>Chapelcross reactors</t>
  </si>
  <si>
    <t>Dungeness reactors</t>
  </si>
  <si>
    <t>Hinkley Point A reactors</t>
  </si>
  <si>
    <t>Hunterston A reactors</t>
  </si>
  <si>
    <t>Sizewell A reactors</t>
  </si>
  <si>
    <t>Trawsfynydd reactors</t>
  </si>
  <si>
    <t>% Vol Reactors</t>
  </si>
  <si>
    <r>
      <t>2m Box, 100mm shielding</t>
    </r>
    <r>
      <rPr>
        <b/>
        <vertAlign val="superscript"/>
        <sz val="10"/>
        <rFont val="Arial"/>
        <family val="2"/>
      </rPr>
      <t>1</t>
    </r>
  </si>
  <si>
    <t>Notes</t>
  </si>
  <si>
    <t xml:space="preserve">1 The internal concrete sheilding for the 2m box could range from 1365kg to 1657kg depending on how it is calculated and what cement density is used </t>
  </si>
  <si>
    <t>2 The internal concrete shielding for the 4m box could range from 1904kg to 4217kg depending on how it is estimated and what cement density is used</t>
  </si>
  <si>
    <r>
      <t>4m Box, 100mm shielding</t>
    </r>
    <r>
      <rPr>
        <b/>
        <vertAlign val="superscript"/>
        <sz val="10"/>
        <rFont val="Arial"/>
        <family val="2"/>
      </rPr>
      <t>2</t>
    </r>
  </si>
  <si>
    <t>Container Metal Load (Pt)</t>
  </si>
  <si>
    <t>Shielding Load (Pt)</t>
  </si>
  <si>
    <t>Container Prod Load (Pt)</t>
  </si>
  <si>
    <t>Rail Transport Load (Pt)</t>
  </si>
  <si>
    <t>Road Transport Load (Pt)</t>
  </si>
  <si>
    <t>Sea Transport Load (Pt)</t>
  </si>
  <si>
    <t>Total Impact (Pt)</t>
  </si>
  <si>
    <r>
      <t>2m (SS) box with 100mm OPC internal shielding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</t>
    </r>
  </si>
  <si>
    <t>2m (SS) box with 100mm BFS internal shielding</t>
  </si>
  <si>
    <t>For</t>
  </si>
  <si>
    <t>ILW</t>
  </si>
  <si>
    <t>LLW</t>
  </si>
  <si>
    <r>
      <t>4m (MS) box with 100mm OPC internal shielding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</si>
  <si>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t>4m (MS) box with 0mm OPC internal shielding</t>
  </si>
  <si>
    <t>2m (SS) box with 0mm internal shielding</t>
  </si>
  <si>
    <t>Activated LLW</t>
  </si>
  <si>
    <r>
      <t>4m (SS) box with 100mm OPC internal shielding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</si>
  <si>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t>4x500l (SS) drums &amp; stillage</t>
  </si>
  <si>
    <t>Type VI (DCI) 'Konrad' Box mini store sourced in Germany</t>
  </si>
  <si>
    <t>Type VI (DCI) 'Konrad' Box mini store sourced in UK</t>
  </si>
  <si>
    <t>Mosaik Flask (DCI) mini store sourced in UK</t>
  </si>
  <si>
    <t>Mosaik Flask (DCI) mini store sourced in Germany</t>
  </si>
  <si>
    <r>
      <t>3m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(SS) Drum</t>
    </r>
  </si>
  <si>
    <r>
      <t>3m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(SS) Box</t>
    </r>
  </si>
  <si>
    <t>Fill package + waste to Drigg, 40t Truck</t>
  </si>
  <si>
    <t>From LLWR Website docs</t>
  </si>
  <si>
    <t>Empty packages to Studsvik, Inland Sea Freight at LLWR ave cost</t>
  </si>
  <si>
    <t>Fill package + waste to Drigg, Inland Sea Freight at LLWR ave cost</t>
  </si>
  <si>
    <t>2 See Studsvik 2006 p35 and 36 for variation in estimates of metal waste masses</t>
  </si>
  <si>
    <t>2 The internal shielding for the 2 m box could vary between 1904kg and 4217kg depending on the calculation method and cement density. The increase to the larger value increases the total L/C impact by ~0.6% only</t>
  </si>
  <si>
    <r>
      <t>Internal Volume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</si>
  <si>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EI99 Load/Internal Vol (Pt/m3)</t>
  </si>
  <si>
    <r>
      <t>External Volume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</si>
  <si>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EI99 Load/External Vol (Pt/m3)</t>
  </si>
  <si>
    <r>
      <t>2m (SS) box with 100mm OPC internal shielding</t>
    </r>
    <r>
      <rPr>
        <sz val="10"/>
        <rFont val="Arial"/>
        <family val="0"/>
      </rPr>
      <t xml:space="preserve"> </t>
    </r>
  </si>
  <si>
    <t>4m (SS) box with 100mm OPC internal shielding</t>
  </si>
  <si>
    <t>4m (SS) box with 0mm OPC internal shielding</t>
  </si>
  <si>
    <r>
      <t>The lower the Pt/m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the better the environmental load of the package.</t>
    </r>
  </si>
  <si>
    <t>ILW or LLW</t>
  </si>
  <si>
    <t>Container Variables</t>
  </si>
  <si>
    <t>HHISO (MS)</t>
  </si>
  <si>
    <t>HHISO(MS) Road Transport</t>
  </si>
  <si>
    <t>Average Container Loading</t>
  </si>
  <si>
    <t>Ave</t>
  </si>
  <si>
    <t>Total Reactor Vol (m3)</t>
  </si>
  <si>
    <t>% Vol Ancillaries (m3)</t>
  </si>
  <si>
    <t>Total Ancillaries Vol (m3)</t>
  </si>
  <si>
    <t>Total Reactor Mass (t)</t>
  </si>
  <si>
    <t>Total Ancillary Mass (t)</t>
  </si>
  <si>
    <t>Number of Reactors</t>
  </si>
  <si>
    <t>Raw waste volume per reactor (m3)</t>
  </si>
  <si>
    <t>Mass Per Reactor (t)</t>
  </si>
  <si>
    <t>Reactor Packages</t>
  </si>
  <si>
    <t>Total Reactor Conditioned Vol (m3)</t>
  </si>
  <si>
    <t>Total Reactor Packaged Vol (m3)</t>
  </si>
  <si>
    <t>9A314</t>
  </si>
  <si>
    <t>9B314</t>
  </si>
  <si>
    <t>2A304</t>
  </si>
  <si>
    <t>2C305</t>
  </si>
  <si>
    <t>9D314</t>
  </si>
  <si>
    <t>9J311</t>
  </si>
  <si>
    <t>a</t>
  </si>
  <si>
    <t>WAGR to Liverpool</t>
  </si>
  <si>
    <t>b</t>
  </si>
  <si>
    <t>France</t>
  </si>
  <si>
    <t>Marseille to Avingnon</t>
  </si>
  <si>
    <t>c</t>
  </si>
  <si>
    <t>Liverpool to Marseille</t>
  </si>
  <si>
    <t>Germany</t>
  </si>
  <si>
    <t>Rotterdam to Kerfeld</t>
  </si>
  <si>
    <t>Liverpool to Rotterdam</t>
  </si>
  <si>
    <t>USA</t>
  </si>
  <si>
    <t>Southport to Bear Creek</t>
  </si>
  <si>
    <t>Liverpool to Southport</t>
  </si>
  <si>
    <t>Russian Federation</t>
  </si>
  <si>
    <t>St Petersburg to Sosnoybor</t>
  </si>
  <si>
    <t>Liverpool to St Petersburg</t>
  </si>
  <si>
    <t>d</t>
  </si>
  <si>
    <t>e</t>
  </si>
  <si>
    <t>f</t>
  </si>
  <si>
    <t>Boilers</t>
  </si>
  <si>
    <t>HHISO (out)</t>
  </si>
  <si>
    <t>HHISO (back)</t>
  </si>
  <si>
    <t>g</t>
  </si>
  <si>
    <t>h</t>
  </si>
  <si>
    <t>i</t>
  </si>
  <si>
    <t>Liverpool to Drigg</t>
  </si>
  <si>
    <t>Avingnon to Marseille</t>
  </si>
  <si>
    <t>Kerfeld to Rotterdam</t>
  </si>
  <si>
    <t>Bear Creek to Southport</t>
  </si>
  <si>
    <t>Sosnoybor to St Petersburg</t>
  </si>
  <si>
    <t>Note 6, really need to include gas duct nuclide costs as well, so (3458/2974)* 5.24E5 = 6.09E5</t>
  </si>
  <si>
    <t>WAGR boilers to Sweden for melting</t>
  </si>
  <si>
    <t xml:space="preserve">Packages for residual waste </t>
  </si>
  <si>
    <t>4 recycled boilers residual waste mass disposed at Drigg</t>
  </si>
  <si>
    <t>4 Boilers Residual Waste Disposed (UK)</t>
  </si>
  <si>
    <t>Hull to Drigg (Road)</t>
  </si>
  <si>
    <t>Empty packages to Studsvik (Drigg to Hull)</t>
  </si>
  <si>
    <t>Empty packages to Studsvik (Hull to Stockholm)</t>
  </si>
  <si>
    <t>Assume LLWR to Studsvik, packages only, 2 per delivery</t>
  </si>
  <si>
    <t>Empty packages to Studsvik (Stockholm to Nykoping)</t>
  </si>
  <si>
    <t>Transport to Europe (£)</t>
  </si>
  <si>
    <t>Full packages to Drigg (Nykoping to Stockholm)</t>
  </si>
  <si>
    <t>Full packages to Drigg (Stockholm to Hull)</t>
  </si>
  <si>
    <t>Full package to Drigg (Hull to Drigg)</t>
  </si>
  <si>
    <t>Best Empty HHISO transport to WAGR (1 per trip)</t>
  </si>
  <si>
    <t>Worst Empty HHISO transport to WAGR (1 per trip)</t>
  </si>
  <si>
    <t>Best Full HHISO transport-Drigg (one per trip)</t>
  </si>
  <si>
    <t>Worst Full HHISO transport-Drigg (one per trip)</t>
  </si>
  <si>
    <t>Best Cement Grout</t>
  </si>
  <si>
    <t>Worst Cement Grout</t>
  </si>
  <si>
    <t>TOTAL ENVIRONMENTAL LOAD</t>
  </si>
  <si>
    <t>Note 7, I need to compare these values with the limits set for VLLW and LLW from the latest Defra et al UK Solid LLW Policy</t>
  </si>
  <si>
    <t>Melt Partition Preference</t>
  </si>
  <si>
    <t>Very volatile, off gas</t>
  </si>
  <si>
    <r>
      <t>Steel ingot (91%</t>
    </r>
    <r>
      <rPr>
        <vertAlign val="superscript"/>
        <sz val="10"/>
        <rFont val="Arial"/>
        <family val="2"/>
      </rPr>
      <t xml:space="preserve"> 8</t>
    </r>
    <r>
      <rPr>
        <sz val="10"/>
        <rFont val="Arial"/>
        <family val="0"/>
      </rPr>
      <t>)</t>
    </r>
  </si>
  <si>
    <r>
      <t>Steel ingot (99.5%</t>
    </r>
    <r>
      <rPr>
        <vertAlign val="superscript"/>
        <sz val="10"/>
        <rFont val="Arial"/>
        <family val="2"/>
      </rPr>
      <t xml:space="preserve"> 8</t>
    </r>
    <r>
      <rPr>
        <sz val="10"/>
        <rFont val="Arial"/>
        <family val="0"/>
      </rPr>
      <t>)</t>
    </r>
  </si>
  <si>
    <r>
      <t xml:space="preserve">39% Slag,61% dust </t>
    </r>
    <r>
      <rPr>
        <vertAlign val="superscript"/>
        <sz val="10"/>
        <rFont val="Arial"/>
        <family val="2"/>
      </rPr>
      <t>8</t>
    </r>
  </si>
  <si>
    <r>
      <t xml:space="preserve">100% slag </t>
    </r>
    <r>
      <rPr>
        <vertAlign val="superscript"/>
        <sz val="10"/>
        <rFont val="Arial"/>
        <family val="2"/>
      </rPr>
      <t>8</t>
    </r>
  </si>
  <si>
    <t>Note 8, Initial partitioning based on Schlienger, Buckentin and Damkroger 1997, needs updated based on other sources.</t>
  </si>
  <si>
    <t>Half Life (years)</t>
  </si>
  <si>
    <t>Mass (tonne)</t>
  </si>
  <si>
    <t>No</t>
  </si>
  <si>
    <t>Total Mass(kg)</t>
  </si>
  <si>
    <t>Steel Score (Pt)</t>
  </si>
  <si>
    <t>Converter Steel Score (Pt)</t>
  </si>
  <si>
    <t>Steel Low Allow Score (Pt)</t>
  </si>
  <si>
    <t>Scaling (Special Transport)</t>
  </si>
  <si>
    <t>Steel EI99 (mPt/kg)</t>
  </si>
  <si>
    <t>Converter Steel EI99 (mPt/kg)</t>
  </si>
  <si>
    <t>Steel Low Alloy EI99 (mPt/kg)</t>
  </si>
  <si>
    <t>Mass (kg)</t>
  </si>
  <si>
    <t>28t truck Score (Pt)</t>
  </si>
  <si>
    <t>28t truck EI99 (mPt/tkm)</t>
  </si>
  <si>
    <t>Steel low alloy</t>
  </si>
  <si>
    <t>SS is stainless steel, MS is mild steel and DCI is ductile cast Iron</t>
  </si>
  <si>
    <t>1 The internal shielding for the 2 m box could vary between 1365kg and 1657kg depending on the calculation method and cement density. The increase to the larger value increases the total L/C impact by ~0.6% only</t>
  </si>
  <si>
    <t>Boiler Steel</t>
  </si>
  <si>
    <t>PVC EI99 Felxible (mPt/kg)</t>
  </si>
  <si>
    <t>PVC Score (Pt)</t>
  </si>
  <si>
    <t>WAGR Radioactive Finger Print for LLW (2010 UKRWI)</t>
  </si>
  <si>
    <t xml:space="preserve"> </t>
  </si>
  <si>
    <t>Nickel</t>
  </si>
  <si>
    <t>Other metals</t>
  </si>
  <si>
    <t>Impact Category</t>
  </si>
  <si>
    <t>Carcinogen</t>
  </si>
  <si>
    <t>Respiratory Organics</t>
  </si>
  <si>
    <t>Respiratory Inorgancis</t>
  </si>
  <si>
    <t>Climate Change</t>
  </si>
  <si>
    <t>Radiation</t>
  </si>
  <si>
    <t>Ozone Layer</t>
  </si>
  <si>
    <t>Ecotoxicity</t>
  </si>
  <si>
    <t>Acidification &amp; Eutrophication</t>
  </si>
  <si>
    <t>Land Use</t>
  </si>
  <si>
    <t>Minerals</t>
  </si>
  <si>
    <t>Fossil Fuels</t>
  </si>
  <si>
    <t>Overall Life Cycle</t>
  </si>
  <si>
    <t>Units</t>
  </si>
  <si>
    <t>DALY</t>
  </si>
  <si>
    <t>PAFm2yr</t>
  </si>
  <si>
    <t>PDFm2yr</t>
  </si>
  <si>
    <t>MJ Surplus</t>
  </si>
  <si>
    <t>EI99 (Pt)</t>
  </si>
  <si>
    <t>Comparison of Total Characterisation Results for Direct Disposal for all Cultural Perspective</t>
  </si>
  <si>
    <t>Comparison of Total Damage Assessment Results for Direct Disposal for all Cultural Perspective</t>
  </si>
  <si>
    <t>Comparison of Total Normalised Results for Direct Disposal for all Cultural Perspective</t>
  </si>
  <si>
    <t>Comparison of Total Weighted Results for Direct Disposal for all Cultural Perspective</t>
  </si>
  <si>
    <t>Ecotoxicity (PAFm2Yr)</t>
  </si>
  <si>
    <t>The Human Health Damage Assessment results are the same as the Characterisation results</t>
  </si>
  <si>
    <t>The Resourses Damage Assessment results are the same as the Characterisation results</t>
  </si>
  <si>
    <t xml:space="preserve">The Eco-System Quailty Damage Assessments results are the same as Characterisation results </t>
  </si>
  <si>
    <t>except that the Ecotoxicity Value is now PDFm2Yr and reduced by a factor of 10.</t>
  </si>
  <si>
    <t>Other Metals ILW</t>
  </si>
  <si>
    <t>Other Metal LLW</t>
  </si>
  <si>
    <t>Other Metals VLLW</t>
  </si>
  <si>
    <t>Other Metals LLW</t>
  </si>
  <si>
    <t>SS Surf. Cont. LLW</t>
  </si>
  <si>
    <t>SS Vol. Cont. LLW</t>
  </si>
  <si>
    <t>MS Surf. Cont. LLW</t>
  </si>
  <si>
    <t>3L315</t>
  </si>
  <si>
    <t>3M314</t>
  </si>
  <si>
    <t>3M315</t>
  </si>
  <si>
    <t>3N314</t>
  </si>
  <si>
    <t>3N315</t>
  </si>
  <si>
    <t>3S301</t>
  </si>
  <si>
    <t>3S305</t>
  </si>
  <si>
    <t>Marseille to Liverpool</t>
  </si>
  <si>
    <t>Rotterdam to Liverpool</t>
  </si>
  <si>
    <t>0*</t>
  </si>
  <si>
    <t>Southport to Liverpool</t>
  </si>
  <si>
    <t>St Petersburg to Liverpool</t>
  </si>
  <si>
    <t>Melting Power</t>
  </si>
  <si>
    <t>j</t>
  </si>
  <si>
    <t>US/S</t>
  </si>
  <si>
    <t>FR/S</t>
  </si>
  <si>
    <t>DE/S</t>
  </si>
  <si>
    <t>DE/S (No Russian elect data)</t>
  </si>
  <si>
    <t>Waste (back)</t>
  </si>
  <si>
    <t>k</t>
  </si>
  <si>
    <t>l</t>
  </si>
  <si>
    <t>m</t>
  </si>
  <si>
    <t>See Boilers</t>
  </si>
  <si>
    <t>9F315</t>
  </si>
  <si>
    <t>THESE SHOULD BE HHISOs</t>
  </si>
  <si>
    <t>Windscale to Whitehaven (Road)</t>
  </si>
  <si>
    <t>Whitehaven to Nykoping (Sea)</t>
  </si>
  <si>
    <t>Nykoping to Stockholm (Road)</t>
  </si>
  <si>
    <t>Stockholm to Hull (Sea)</t>
  </si>
  <si>
    <t>Waste Mass (g)</t>
  </si>
  <si>
    <r>
      <t xml:space="preserve">Levels Outside Legislation Bq/g </t>
    </r>
    <r>
      <rPr>
        <b/>
        <vertAlign val="superscript"/>
        <sz val="10"/>
        <color indexed="12"/>
        <rFont val="Arial"/>
        <family val="2"/>
      </rPr>
      <t>4</t>
    </r>
  </si>
  <si>
    <t>?</t>
  </si>
  <si>
    <r>
      <t xml:space="preserve">Total alpha </t>
    </r>
    <r>
      <rPr>
        <vertAlign val="superscript"/>
        <sz val="10"/>
        <color indexed="53"/>
        <rFont val="Arial"/>
        <family val="2"/>
      </rPr>
      <t>2</t>
    </r>
  </si>
  <si>
    <t>Note 4 Tables 2.2 and 2.3 of Defra et al, 2011, "Guidance on the scope of and exemptions from the radioactive substances legislation in the UK", Version 1</t>
  </si>
  <si>
    <t>Note 5 Table 3.1 of Defra et al, 2011, "Guidance on the scope of and exemptions from the radioactive substances legislation in the UK", Version 1</t>
  </si>
  <si>
    <t>Concentration Bq/g</t>
  </si>
  <si>
    <r>
      <t xml:space="preserve">Maximum Concentration for Exemption Bq/g </t>
    </r>
    <r>
      <rPr>
        <vertAlign val="superscript"/>
        <sz val="10"/>
        <color indexed="61"/>
        <rFont val="Arial"/>
        <family val="2"/>
      </rPr>
      <t>5</t>
    </r>
  </si>
  <si>
    <r>
      <t>Waste Vol. m</t>
    </r>
    <r>
      <rPr>
        <b/>
        <vertAlign val="superscript"/>
        <sz val="10"/>
        <rFont val="Arial"/>
        <family val="2"/>
      </rPr>
      <t>3  6</t>
    </r>
  </si>
  <si>
    <r>
      <t xml:space="preserve">Levels Outside Legislation Bq/g </t>
    </r>
    <r>
      <rPr>
        <b/>
        <vertAlign val="superscript"/>
        <sz val="10"/>
        <color indexed="12"/>
        <rFont val="Arial"/>
        <family val="2"/>
      </rPr>
      <t>4 7</t>
    </r>
  </si>
  <si>
    <r>
      <t xml:space="preserve">Maximum Concentration for Exemption Bq/g </t>
    </r>
    <r>
      <rPr>
        <vertAlign val="superscript"/>
        <sz val="10"/>
        <color indexed="61"/>
        <rFont val="Arial"/>
        <family val="2"/>
      </rPr>
      <t>5 7</t>
    </r>
  </si>
  <si>
    <t>Number</t>
  </si>
  <si>
    <t>Ext Vol (m3)</t>
  </si>
  <si>
    <t>Int Vol Max (m3)</t>
  </si>
  <si>
    <t>Int Vol Use-able (m3)</t>
  </si>
  <si>
    <t>Ave Payload (m3)</t>
  </si>
  <si>
    <t>Assuming hemispheric ends</t>
  </si>
  <si>
    <t>Package Mass (tonne)</t>
  </si>
  <si>
    <t>Grout Density (kg/m3)</t>
  </si>
  <si>
    <t>About 15.8t boiler steel per HHISO, 19t total</t>
  </si>
  <si>
    <t>About 10.1t boiler steel per HHISO, 13t total</t>
  </si>
  <si>
    <t>Mass (tonne) per boiler</t>
  </si>
  <si>
    <t>Length (m) per boiler</t>
  </si>
  <si>
    <t>Diameter (m), per boiler</t>
  </si>
  <si>
    <t>Volume (m3), per boiler</t>
  </si>
  <si>
    <t>For each HHISO</t>
  </si>
  <si>
    <t>About 27.4t per HHISO</t>
  </si>
  <si>
    <t>About 23.2t per HHISO</t>
  </si>
  <si>
    <t>Distances</t>
  </si>
  <si>
    <t>WAGR to Drigg (km)</t>
  </si>
  <si>
    <t>YMC Beverley-WAGR (km)</t>
  </si>
  <si>
    <t>Mass per HHISO (tonne)</t>
  </si>
  <si>
    <t>Best Grout Vol (m3)</t>
  </si>
  <si>
    <t>Worst Grout Vol (m3)</t>
  </si>
  <si>
    <t>Best Grout Mass (tonne)</t>
  </si>
  <si>
    <t>Worst Grout Mass (tonne)</t>
  </si>
  <si>
    <t xml:space="preserve">Material &amp; Process </t>
  </si>
  <si>
    <t>HHISO Metal (Best)</t>
  </si>
  <si>
    <t>HHISO Metal (Worst)</t>
  </si>
  <si>
    <t>Best Production (Mass/10)</t>
  </si>
  <si>
    <t>Worst Production (Mass/10)</t>
  </si>
  <si>
    <t>Worst No. Packages for packaged disposal</t>
  </si>
  <si>
    <t>Best Empty HHISO transport to Whitehaven (1 per trip)</t>
  </si>
  <si>
    <t>PRE DISPOSAL (i.e. Production and Use)</t>
  </si>
  <si>
    <t>DISPOSAL</t>
  </si>
  <si>
    <t>Volume (dm3)</t>
  </si>
  <si>
    <t>Proxy Segmentation</t>
  </si>
  <si>
    <t>Proxy Decontamination</t>
  </si>
  <si>
    <t>Milling, turning, drilling (mPt/dm3)]</t>
  </si>
  <si>
    <t>Score (M,T,D) (Pt)</t>
  </si>
  <si>
    <t>Grout Volume Per HHISO (m3)</t>
  </si>
  <si>
    <t>No.</t>
  </si>
  <si>
    <t>Total grout volume (m3)</t>
  </si>
  <si>
    <t>Grout Denisty (kg/m3)</t>
  </si>
  <si>
    <t>Cement EI99 (mPt/kg)</t>
  </si>
  <si>
    <t>Cement Score (Pt)</t>
  </si>
  <si>
    <t>PVC tarpaulin</t>
  </si>
  <si>
    <t>Process</t>
  </si>
  <si>
    <t>Bentonite Backfill</t>
  </si>
  <si>
    <t>Segmented boiler metal transported to Drigg</t>
  </si>
  <si>
    <t>Metal Charge (tonne)</t>
  </si>
  <si>
    <t>Max metal metling</t>
  </si>
  <si>
    <t>Min metal melting</t>
  </si>
  <si>
    <t>lbs per kg</t>
  </si>
  <si>
    <t>Ave power per melt (kWh)</t>
  </si>
  <si>
    <t>EI99 Electricity (mPt/kWh))</t>
  </si>
  <si>
    <t>Melting Load (Pt)</t>
  </si>
  <si>
    <t>Residual Waste Disposal</t>
  </si>
  <si>
    <t>Proxy Slag</t>
  </si>
  <si>
    <t>Score Steel (Pt)</t>
  </si>
  <si>
    <t>Proxy Slag crushing</t>
  </si>
  <si>
    <t>Pressing (mPt/kg)</t>
  </si>
  <si>
    <t>Best Full HHISO road transport Nykoping to Stockholm (1 per trip)</t>
  </si>
  <si>
    <t>Worst full HHISO road transport Nykoping to Stockholm (1 per trip)</t>
  </si>
  <si>
    <t>Best Full HHISO sea transport Stockholm to Hull (1 per trip)</t>
  </si>
  <si>
    <t>Worst full HHISO sea transport Stockholm to Hull (1 per trip)</t>
  </si>
  <si>
    <t>Best Full HHISO road transport Hull to Drigg (1 per trip)</t>
  </si>
  <si>
    <t>Worst Full HHISO road transport Hull to Drigg (1 per trip)</t>
  </si>
  <si>
    <t>Best disposal volume</t>
  </si>
  <si>
    <t>Worst disposal volume</t>
  </si>
  <si>
    <t>HHISO volume (m3)</t>
  </si>
  <si>
    <t>Disposal Volume (m3)</t>
  </si>
  <si>
    <t>Best case packaging &amp; transport (Pt)</t>
  </si>
  <si>
    <t>Best case packaging &amp; transport (kPt)</t>
  </si>
  <si>
    <t>Worst case packaging &amp; transport (Pt)</t>
  </si>
  <si>
    <t>Worst case packaging &amp; transport (kPt)</t>
  </si>
  <si>
    <t>Total alpha metal</t>
  </si>
  <si>
    <t>Total B/G metal</t>
  </si>
  <si>
    <t>Activity MBq</t>
  </si>
  <si>
    <r>
      <t xml:space="preserve">Nuclide Charge £/MBq </t>
    </r>
    <r>
      <rPr>
        <b/>
        <vertAlign val="superscript"/>
        <sz val="10"/>
        <rFont val="Arial"/>
        <family val="2"/>
      </rPr>
      <t>3</t>
    </r>
  </si>
  <si>
    <t>Note 3 data from LLWR Service Price List 2011</t>
  </si>
  <si>
    <t>Total Charge (£)</t>
  </si>
  <si>
    <t>Berkeley Radioactive Finger Print for LLW</t>
  </si>
  <si>
    <t>Ho166m</t>
  </si>
  <si>
    <t>Am241</t>
  </si>
  <si>
    <t>variable</t>
  </si>
  <si>
    <t>Alpha &amp; Gamma</t>
  </si>
  <si>
    <t>9C314</t>
  </si>
  <si>
    <t>Magnox Power Stations</t>
  </si>
  <si>
    <t>EDF AGR &amp; PWR Power Stations</t>
  </si>
  <si>
    <t>Sub Total  SS</t>
  </si>
  <si>
    <t>Sub Total  MS</t>
  </si>
  <si>
    <t>Total Steel</t>
  </si>
  <si>
    <t>3J314</t>
  </si>
  <si>
    <t>3J315</t>
  </si>
  <si>
    <t>3K314</t>
  </si>
  <si>
    <t>3K315</t>
  </si>
  <si>
    <t>3L314</t>
  </si>
  <si>
    <t>Berkeley Gas Duct Radioactive Decay Inventory (Nuclear Electric 1993 TD/ETB/REP/5005 Table 6)</t>
  </si>
  <si>
    <t>4B315</t>
  </si>
  <si>
    <t>4B314</t>
  </si>
  <si>
    <t>4C314</t>
  </si>
  <si>
    <t>4C315</t>
  </si>
  <si>
    <t>Dungeness A reactors</t>
  </si>
  <si>
    <r>
      <t xml:space="preserve">Hunterston A </t>
    </r>
    <r>
      <rPr>
        <vertAlign val="superscript"/>
        <sz val="10"/>
        <rFont val="Arial"/>
        <family val="2"/>
      </rPr>
      <t>4</t>
    </r>
  </si>
  <si>
    <t>4 The remaining 6 % of the Hunsterston A waste is from the charge machines</t>
  </si>
  <si>
    <t>Total Cost for packaged boilers to Drigg (£)</t>
  </si>
  <si>
    <t>Packaged vol per segmented boiler sections (m3)</t>
  </si>
  <si>
    <t xml:space="preserve">Note 1 H3 and C14 are highlighted as incorporated in steels for boilers and reactors in the 2010 UKRWI </t>
  </si>
  <si>
    <t>Packaged Vol per segmented ducting sections (m3)</t>
  </si>
  <si>
    <t>Activity Bq</t>
  </si>
  <si>
    <t>Hunterston B SS Reactor LLW</t>
  </si>
  <si>
    <t>Hunterston B MS Reactor LLW</t>
  </si>
  <si>
    <t>Torness SS Reactor LLW</t>
  </si>
  <si>
    <t>Torness MS Reactor LLW</t>
  </si>
  <si>
    <t>Sub total HHISO</t>
  </si>
  <si>
    <r>
      <t xml:space="preserve">Sub total 4m Boxes </t>
    </r>
    <r>
      <rPr>
        <vertAlign val="superscript"/>
        <sz val="10"/>
        <color indexed="10"/>
        <rFont val="Arial"/>
        <family val="2"/>
      </rPr>
      <t>2</t>
    </r>
  </si>
  <si>
    <t>Notes 2 - The 4m boxes for EDF represent about 7.4% of the total number of 4m boxes for LLW in 2010 UKRWI</t>
  </si>
  <si>
    <t>Grouting HHISOs at Drigg</t>
  </si>
  <si>
    <t>Volume to Grout (m3)</t>
  </si>
  <si>
    <t>Grout Mass (kg)</t>
  </si>
  <si>
    <t>Nuclide</t>
  </si>
  <si>
    <t>H3</t>
  </si>
  <si>
    <t>Decay</t>
  </si>
  <si>
    <t>Beta</t>
  </si>
  <si>
    <t>Ap</t>
  </si>
  <si>
    <t>Waste Vol. m3</t>
  </si>
  <si>
    <t>C14</t>
  </si>
  <si>
    <t>Activity TBq</t>
  </si>
  <si>
    <t>Cl36</t>
  </si>
  <si>
    <t>Ca41</t>
  </si>
  <si>
    <t>EC</t>
  </si>
  <si>
    <t>Mn54</t>
  </si>
  <si>
    <t>Fe55</t>
  </si>
  <si>
    <t>Co60</t>
  </si>
  <si>
    <t>Ni59</t>
  </si>
  <si>
    <t>Ni63</t>
  </si>
  <si>
    <t>Nb93m</t>
  </si>
  <si>
    <t>Fp</t>
  </si>
  <si>
    <t>IT</t>
  </si>
  <si>
    <t>Nb94</t>
  </si>
  <si>
    <t>Cs134</t>
  </si>
  <si>
    <t>Cs137</t>
  </si>
  <si>
    <t>Eu152</t>
  </si>
  <si>
    <t>Eu154</t>
  </si>
  <si>
    <t>Eu155</t>
  </si>
  <si>
    <t>Total alpha</t>
  </si>
  <si>
    <t>Total B/G</t>
  </si>
  <si>
    <t>Ap activation product</t>
  </si>
  <si>
    <t>Fp Fission product</t>
  </si>
  <si>
    <t>EC Electron Capture</t>
  </si>
  <si>
    <t>IT Isometric Transition</t>
  </si>
  <si>
    <t>B/G Beta/Gamma</t>
  </si>
  <si>
    <r>
      <t xml:space="preserve">Specifi activity (TBq/m3) </t>
    </r>
    <r>
      <rPr>
        <b/>
        <vertAlign val="superscript"/>
        <sz val="10"/>
        <rFont val="Arial"/>
        <family val="2"/>
      </rPr>
      <t>1</t>
    </r>
  </si>
  <si>
    <t>Note 2 alpha activity assumed to be 0.01% of Cs137 activity (1994 UKRWI)</t>
  </si>
  <si>
    <t>Total Mass of boiler, transporter, tie down and ancillary equipment (tonne)</t>
  </si>
  <si>
    <t>Boilers only transport (Pt)</t>
  </si>
  <si>
    <t>Boilers only transport (kPt)</t>
  </si>
  <si>
    <t>Boilers and ancillaries transport (Pt)</t>
  </si>
  <si>
    <t>Boilers and ancilliaries transport (kPt)</t>
  </si>
  <si>
    <t>Best case packaging (Pt)</t>
  </si>
  <si>
    <t>Worst case packaging (kPt)</t>
  </si>
  <si>
    <t>H/A</t>
  </si>
  <si>
    <t>H/H</t>
  </si>
  <si>
    <t>E/A</t>
  </si>
  <si>
    <t>E/E</t>
  </si>
  <si>
    <t>I/A</t>
  </si>
  <si>
    <t>I/I</t>
  </si>
  <si>
    <t>Direct Disposal</t>
  </si>
  <si>
    <t>Bulk Recycling</t>
  </si>
  <si>
    <t>Packaged Disposal</t>
  </si>
  <si>
    <t>Containerised Recycling</t>
  </si>
  <si>
    <t>H/A - Hierachist/Average Weighting</t>
  </si>
  <si>
    <t>H/H - Hierachist/Hierarchist Weighting</t>
  </si>
  <si>
    <t>E/A - Egalitarian/Average Weighting</t>
  </si>
  <si>
    <t>E/E - Egalitarian/Egalitarian Weighting</t>
  </si>
  <si>
    <t>Worst Empty HHISO transport to Whitehaven (1 per trip)</t>
  </si>
  <si>
    <t>Specialised road transport, boilers only</t>
  </si>
  <si>
    <t>Specialised road transport, total</t>
  </si>
  <si>
    <t>Specialised sea transport, boilers + empty HHISOs only</t>
  </si>
  <si>
    <t>Specialised sea transport, boilers, ancillaries and empty HHISO</t>
  </si>
  <si>
    <t>95% recycled boiler mass</t>
  </si>
  <si>
    <t>Avoided product EI99 (mPt/kg)</t>
  </si>
  <si>
    <t>Steel making process EI99 (mPt/kg)</t>
  </si>
  <si>
    <t>Indicator Value (mPt/kg)</t>
  </si>
  <si>
    <t>Boiler ingot recycling credit (Pt)</t>
  </si>
  <si>
    <t>Bayliss C. and Langley K., 2003, "Nuclear Decommissioning, Waste Management and Environmental Site Remediation", Elsevier, Butterworth and Heinmann</t>
  </si>
  <si>
    <t>mile to km conversion</t>
  </si>
  <si>
    <t>Cable p294, Ave off 2292, 2325 &amp; 2667</t>
  </si>
  <si>
    <t>Cable, J.W., 1954, "Induction and Dielectric Heating", Reinhold, Maple Press, New York</t>
  </si>
  <si>
    <t>Studvik literature</t>
  </si>
  <si>
    <t>Difference (kPt)</t>
  </si>
  <si>
    <t>Difference (%)</t>
  </si>
  <si>
    <t>Boiler wrapping material (av plastics data, boiler envelope)</t>
  </si>
  <si>
    <t>Assuming 1 boiler envelope surface area</t>
  </si>
  <si>
    <t>Total Env Load</t>
  </si>
  <si>
    <t>Total Env. Load</t>
  </si>
  <si>
    <t>Total Env. Load (low alloy steel)</t>
  </si>
  <si>
    <t>Total Avoided Production</t>
  </si>
  <si>
    <t>Total Avoided Transport</t>
  </si>
  <si>
    <t>Melter A</t>
  </si>
  <si>
    <t>Power (kW)</t>
  </si>
  <si>
    <t>Melter B</t>
  </si>
  <si>
    <t>Melter C</t>
  </si>
  <si>
    <t>Melt Charge (t)</t>
  </si>
  <si>
    <t>Melt Charge (kg)</t>
  </si>
  <si>
    <t>Melt Charge (lb) Childs p93</t>
  </si>
  <si>
    <t>Melt time for 8000lb charge (minutes) Cable p249</t>
  </si>
  <si>
    <t>Melt Power (kWh)</t>
  </si>
  <si>
    <t>No. of Melts</t>
  </si>
  <si>
    <t>Mass per melt (kg)</t>
  </si>
  <si>
    <t>Mass per melt (lb)</t>
  </si>
  <si>
    <t>Ave Power per melt (kWh)</t>
  </si>
  <si>
    <t>Total Power (kWh)</t>
  </si>
  <si>
    <t>Eu ave 1-4kV</t>
  </si>
  <si>
    <t>Metal slag (assumed steel) (Sweden (kg))</t>
  </si>
  <si>
    <t>Slag crushing (Pressing as proxy)</t>
  </si>
  <si>
    <t>Removed volume (dm3)</t>
  </si>
  <si>
    <t>Boilers segmented (milling, turning &amp; drilling as proxy, 11 m circumference, 1cm cut, 2.5cm thick, 1100 cuts, Sweden (dm3))</t>
  </si>
  <si>
    <t>Boiler shell decontamination (milling turning &amp; drilling as proxy, 246m2 boiler surface area, 1mm removed, 4 boilers, Sweden (dm3))</t>
  </si>
  <si>
    <r>
      <t>3 The 4 WAGR 190tonne boilers were disposed whole to Drigg, the waste volume was estimated from boiler length and diameter giving an individual boiler envelope volume of ~186.95m</t>
    </r>
    <r>
      <rPr>
        <vertAlign val="superscript"/>
        <sz val="8"/>
        <rFont val="Arial"/>
        <family val="2"/>
      </rPr>
      <t>3</t>
    </r>
  </si>
  <si>
    <t>35 Year (Bq)</t>
  </si>
  <si>
    <t>135 Years (Bq)</t>
  </si>
  <si>
    <t>Dungeness B SS reactor LLW</t>
  </si>
  <si>
    <t>Dungeness B MS reactor LLW</t>
  </si>
  <si>
    <t>Hartlepool SS Reactor LLW</t>
  </si>
  <si>
    <t>Hartlepool MS Reactor LLW</t>
  </si>
  <si>
    <t>Heysham1 SS Reactor LLW</t>
  </si>
  <si>
    <t>Heysham1 MS Reactor LLW</t>
  </si>
  <si>
    <t>Total 4m boxes</t>
  </si>
  <si>
    <t>Heysham 2 SS Reactor LLW</t>
  </si>
  <si>
    <t>Heysham 2 MS Reactor LLW</t>
  </si>
  <si>
    <t>Hinkley B SS Reactor LLW</t>
  </si>
  <si>
    <t>Hinkley B MS Reactor LLW</t>
  </si>
  <si>
    <t>Sizewell B SS Reactor LLW</t>
  </si>
  <si>
    <t>Sizewell B MS Reactor LLW</t>
  </si>
  <si>
    <t>Data to be acquired</t>
  </si>
  <si>
    <t>To be confirmed</t>
  </si>
  <si>
    <t>Assume HHISO</t>
  </si>
  <si>
    <t>2010 UKRWI Data</t>
  </si>
  <si>
    <t>Road transport for recycling (UK)</t>
  </si>
  <si>
    <t>4 recycled boiler residual waste grouting for disposal at Drigg</t>
  </si>
  <si>
    <t>WAGR Boilers (low allow steel) - Total disposal at Drigg</t>
  </si>
  <si>
    <t>Bentonite backfill</t>
  </si>
  <si>
    <t>Bentonite</t>
  </si>
  <si>
    <t>Vol. (m3)</t>
  </si>
  <si>
    <t>Density (kg/m3)</t>
  </si>
  <si>
    <t>Eco Indicator (Material 1) (mPt)</t>
  </si>
  <si>
    <t>Eco Indicator (Material 2) (mPt)</t>
  </si>
  <si>
    <t>For boilers material 1 is steel, material 2 is low allow steel</t>
  </si>
  <si>
    <t>material 1 is bentonite</t>
  </si>
  <si>
    <t>HHISO production contribution (10% of materials)</t>
  </si>
  <si>
    <t>HHISO for boiler recycling residual waste - materials</t>
  </si>
  <si>
    <t>Transport (UK and Sweden)</t>
  </si>
  <si>
    <t>4 Boilers Recycled (Transported whole to Sweden)</t>
  </si>
  <si>
    <t>4 Boilers to Studsvik (WAGR to Whitehaven, road 7*28t Truck)</t>
  </si>
  <si>
    <t>4 Boilers to Studsvik (Whitehaven to Nykoping, sea, Inland Freighter)</t>
  </si>
  <si>
    <t>HHISO Grouting</t>
  </si>
  <si>
    <t>Melt Slag</t>
  </si>
  <si>
    <t>average</t>
  </si>
  <si>
    <t>Min Density (kg/m3)</t>
  </si>
  <si>
    <t>PVC (flexible)</t>
  </si>
  <si>
    <t>Max Density (kg/m3)</t>
  </si>
  <si>
    <t>Reference</t>
  </si>
  <si>
    <t>AA Route Finder</t>
  </si>
  <si>
    <t>Childs p93</t>
  </si>
  <si>
    <t>Bayliss &amp; Langlley p237-238</t>
  </si>
  <si>
    <t>Bayliss &amp; Langlley p237</t>
  </si>
  <si>
    <t>I/A - Individualist/Average Weighting</t>
  </si>
  <si>
    <t>I/I - Individualist/Individualist Weighting</t>
  </si>
  <si>
    <t>Best case packaging (kPt)</t>
  </si>
  <si>
    <t>Worst case packaging (Pt)</t>
  </si>
  <si>
    <t>Standard Lorry transport (tonne)</t>
  </si>
  <si>
    <t>Recycling</t>
  </si>
  <si>
    <t>Residual waste (%)</t>
  </si>
  <si>
    <t>Recycled metal (%)</t>
  </si>
  <si>
    <t>Best No. Packages for packaged disposal</t>
  </si>
  <si>
    <r>
      <t>3m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drum rounded corners</t>
    </r>
  </si>
  <si>
    <r>
      <t>Sellafield 3m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box</t>
    </r>
  </si>
  <si>
    <r>
      <t>Sellafield Enhanced 3m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box</t>
    </r>
  </si>
  <si>
    <r>
      <t>3m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box</t>
    </r>
  </si>
  <si>
    <t>Max waste mass limited by material and rad levels</t>
  </si>
  <si>
    <r>
      <t>Berkeley boiler packages, 4m box lid seals</t>
    </r>
    <r>
      <rPr>
        <vertAlign val="superscript"/>
        <sz val="10"/>
        <rFont val="Arial"/>
        <family val="2"/>
      </rPr>
      <t>2</t>
    </r>
  </si>
  <si>
    <r>
      <t>Berkeley boiler packages, 4m box welding</t>
    </r>
    <r>
      <rPr>
        <vertAlign val="superscript"/>
        <sz val="10"/>
        <rFont val="Arial"/>
        <family val="2"/>
      </rPr>
      <t>1</t>
    </r>
  </si>
  <si>
    <t>Berkeley boiler packages, 4m box sheet pressing (80%)</t>
  </si>
  <si>
    <t>Berkeley boiler packages, 4m box sheet production</t>
  </si>
  <si>
    <t>WAGR boiler packages</t>
  </si>
  <si>
    <t>Costs (Present Value)</t>
  </si>
  <si>
    <t>From Ove Arup report p43 &amp; 48, 11.3 tomme homogeneous cemented waste, 5.8tonne steel scrap, 5.5 tonnes grout</t>
  </si>
  <si>
    <t>Need to confirm dimension as 4m box</t>
  </si>
  <si>
    <t>8 - Assume Mosaik Flask, min shielding</t>
  </si>
  <si>
    <t>Unit Cost £ (min)</t>
  </si>
  <si>
    <t>Unit Cost £ (Max)</t>
  </si>
  <si>
    <t>Min assumes, HHISO cost x (£5700/£4400) to get SS steel cost</t>
  </si>
  <si>
    <t>Max assumes CoRWMs cost for 3m3 box</t>
  </si>
  <si>
    <t>Total Cost £ (Min)</t>
  </si>
  <si>
    <t>Total Cost £ (Max)</t>
  </si>
  <si>
    <t>Percentage of Total Packages</t>
  </si>
  <si>
    <t>No of Packages for Metals</t>
  </si>
  <si>
    <r>
      <t>Based on 102,000m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metal, 287,000m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total</t>
    </r>
  </si>
  <si>
    <r>
      <t>Based on 777,135m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metal, 4,430,000m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total</t>
    </r>
  </si>
  <si>
    <t>Distance (miles)</t>
  </si>
  <si>
    <t>Distance (km)</t>
  </si>
  <si>
    <t>Miles to km conversion factor (Childs, p93)</t>
  </si>
  <si>
    <t>Weight of Packages (tonne)</t>
  </si>
  <si>
    <t>tkm</t>
  </si>
  <si>
    <t>Assume LLWR to Berkeley, packages only, 6 per delivery</t>
  </si>
  <si>
    <t>Assume Berkeley to LLWR, packages + waste, 1 per delivery</t>
  </si>
  <si>
    <t>Size reduce boilers</t>
  </si>
  <si>
    <t>Size reduce gas ducts</t>
  </si>
  <si>
    <t>Transport costs per consignment  £/km</t>
  </si>
  <si>
    <t>Total Transport costs (£)</t>
  </si>
  <si>
    <t>Max waste mass limited by material and rad levels, max grouted weight 42000kg</t>
  </si>
  <si>
    <r>
      <t xml:space="preserve">Oldbury boilers&amp; reactors </t>
    </r>
    <r>
      <rPr>
        <vertAlign val="superscript"/>
        <sz val="10"/>
        <color indexed="10"/>
        <rFont val="Arial"/>
        <family val="2"/>
      </rPr>
      <t>1</t>
    </r>
  </si>
  <si>
    <r>
      <t xml:space="preserve">Wylfa boilers &amp;reactors </t>
    </r>
    <r>
      <rPr>
        <vertAlign val="superscript"/>
        <sz val="10"/>
        <color indexed="10"/>
        <rFont val="Arial"/>
        <family val="2"/>
      </rPr>
      <t>1</t>
    </r>
  </si>
  <si>
    <t>Notes 1 Reactors &amp; boilers together in Boiler Data.</t>
  </si>
  <si>
    <t>Shutdown (Bq)</t>
  </si>
  <si>
    <t>100Years (Bq)</t>
  </si>
  <si>
    <t>10 Years (Bq)</t>
  </si>
  <si>
    <t>Berkeley Boiler Radioactive Decay Inventory (CEGB 1988 RD/B/6081/R88 Table 1)</t>
  </si>
  <si>
    <r>
      <t>GDF &amp; NSNSF overpack for 3m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drum</t>
    </r>
  </si>
  <si>
    <t>Re-usable Shielded Transport Container</t>
  </si>
  <si>
    <t>FHISO 1</t>
  </si>
  <si>
    <t>FHISO 2</t>
  </si>
  <si>
    <t>2THISO</t>
  </si>
  <si>
    <t>External volume used for disposal charge</t>
  </si>
  <si>
    <t>Ditto, and only 15.5m3 useable internal volume</t>
  </si>
  <si>
    <t>VLLW Packages</t>
  </si>
  <si>
    <t>Total Cu Env Load (EI99 (mPt))</t>
  </si>
  <si>
    <t>Lead VLLW</t>
  </si>
  <si>
    <t>Total Pb Env Load (EI99 (mPt))</t>
  </si>
  <si>
    <t>Total Ni Env Load (EI99 (mPt))</t>
  </si>
  <si>
    <t>2001 UKRWI Data for Specific Metals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</si>
</sst>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E+00"/>
    <numFmt numFmtId="167" formatCode="#,##0_ ;[Red]\-#,##0\ "/>
    <numFmt numFmtId="168" formatCode="0.0000E+00"/>
    <numFmt numFmtId="169" formatCode="0.0E+00"/>
    <numFmt numFmtId="170" formatCode="0.000"/>
    <numFmt numFmtId="171" formatCode="0.000E+00"/>
    <numFmt numFmtId="172" formatCode="[$-809]dd\ mmmm\ yyyy"/>
    <numFmt numFmtId="173" formatCode="0.00000"/>
  </numFmts>
  <fonts count="1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Verdana"/>
      <family val="0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vertAlign val="superscript"/>
      <sz val="10"/>
      <color indexed="12"/>
      <name val="Arial"/>
      <family val="2"/>
    </font>
    <font>
      <b/>
      <sz val="10"/>
      <color indexed="11"/>
      <name val="Arial"/>
      <family val="2"/>
    </font>
    <font>
      <b/>
      <sz val="10"/>
      <color indexed="17"/>
      <name val="Arial"/>
      <family val="2"/>
    </font>
    <font>
      <b/>
      <vertAlign val="superscript"/>
      <sz val="10"/>
      <color indexed="10"/>
      <name val="Arial"/>
      <family val="2"/>
    </font>
    <font>
      <b/>
      <sz val="16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11"/>
      <name val="Arial"/>
      <family val="2"/>
    </font>
    <font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sz val="10"/>
      <color indexed="11"/>
      <name val="Arial"/>
      <family val="2"/>
    </font>
    <font>
      <vertAlign val="superscript"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2"/>
      <color indexed="11"/>
      <name val="Arial"/>
      <family val="2"/>
    </font>
    <font>
      <sz val="9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vertAlign val="superscript"/>
      <sz val="10"/>
      <color indexed="53"/>
      <name val="Arial"/>
      <family val="2"/>
    </font>
    <font>
      <sz val="10"/>
      <color indexed="57"/>
      <name val="Arial"/>
      <family val="2"/>
    </font>
    <font>
      <sz val="10"/>
      <color indexed="61"/>
      <name val="Arial"/>
      <family val="2"/>
    </font>
    <font>
      <vertAlign val="superscript"/>
      <sz val="10"/>
      <color indexed="61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8"/>
      <name val="Times New Roman"/>
      <family val="1"/>
    </font>
    <font>
      <b/>
      <sz val="10"/>
      <color indexed="4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11.25"/>
      <color indexed="8"/>
      <name val="Arial"/>
      <family val="2"/>
    </font>
    <font>
      <b/>
      <sz val="11.5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6.75"/>
      <color indexed="8"/>
      <name val="Arial"/>
      <family val="2"/>
    </font>
    <font>
      <b/>
      <sz val="9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10.25"/>
      <color indexed="8"/>
      <name val="Arial"/>
      <family val="2"/>
    </font>
    <font>
      <b/>
      <sz val="10.75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sz val="5.75"/>
      <color indexed="8"/>
      <name val="Arial"/>
      <family val="2"/>
    </font>
    <font>
      <b/>
      <sz val="5.75"/>
      <color indexed="8"/>
      <name val="Arial"/>
      <family val="2"/>
    </font>
    <font>
      <sz val="5.25"/>
      <color indexed="8"/>
      <name val="Arial"/>
      <family val="2"/>
    </font>
    <font>
      <sz val="5.5"/>
      <color indexed="8"/>
      <name val="Arial"/>
      <family val="2"/>
    </font>
    <font>
      <b/>
      <sz val="5.5"/>
      <color indexed="8"/>
      <name val="Arial"/>
      <family val="2"/>
    </font>
    <font>
      <sz val="4.4"/>
      <color indexed="8"/>
      <name val="Arial"/>
      <family val="2"/>
    </font>
    <font>
      <sz val="3.55"/>
      <color indexed="8"/>
      <name val="Arial"/>
      <family val="2"/>
    </font>
    <font>
      <b/>
      <sz val="5.25"/>
      <color indexed="8"/>
      <name val="Arial"/>
      <family val="2"/>
    </font>
    <font>
      <sz val="12"/>
      <color indexed="8"/>
      <name val="Arial"/>
      <family val="2"/>
    </font>
    <font>
      <sz val="4.2"/>
      <color indexed="8"/>
      <name val="Arial"/>
      <family val="2"/>
    </font>
    <font>
      <sz val="14.75"/>
      <color indexed="8"/>
      <name val="Arial"/>
      <family val="2"/>
    </font>
    <font>
      <sz val="7.55"/>
      <color indexed="8"/>
      <name val="Arial"/>
      <family val="2"/>
    </font>
    <font>
      <sz val="6.9"/>
      <color indexed="8"/>
      <name val="Arial"/>
      <family val="2"/>
    </font>
    <font>
      <sz val="7.15"/>
      <color indexed="8"/>
      <name val="Arial"/>
      <family val="2"/>
    </font>
    <font>
      <sz val="7"/>
      <color indexed="8"/>
      <name val="Arial"/>
      <family val="2"/>
    </font>
    <font>
      <sz val="4.8"/>
      <color indexed="8"/>
      <name val="Arial"/>
      <family val="2"/>
    </font>
    <font>
      <sz val="4.6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2" borderId="0" applyNumberFormat="0" applyBorder="0" applyAlignment="0" applyProtection="0"/>
    <xf numFmtId="0" fontId="58" fillId="5" borderId="0" applyNumberFormat="0" applyBorder="0" applyAlignment="0" applyProtection="0"/>
    <xf numFmtId="0" fontId="58" fillId="3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9" fillId="10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10" borderId="0" applyNumberFormat="0" applyBorder="0" applyAlignment="0" applyProtection="0"/>
    <xf numFmtId="0" fontId="59" fillId="3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2" borderId="1" applyNumberFormat="0" applyAlignment="0" applyProtection="0"/>
    <xf numFmtId="0" fontId="6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16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3" borderId="1" applyNumberFormat="0" applyAlignment="0" applyProtection="0"/>
    <xf numFmtId="0" fontId="69" fillId="0" borderId="6" applyNumberFormat="0" applyFill="0" applyAlignment="0" applyProtection="0"/>
    <xf numFmtId="0" fontId="70" fillId="8" borderId="0" applyNumberFormat="0" applyBorder="0" applyAlignment="0" applyProtection="0"/>
    <xf numFmtId="0" fontId="0" fillId="4" borderId="7" applyNumberFormat="0" applyFont="0" applyAlignment="0" applyProtection="0"/>
    <xf numFmtId="0" fontId="71" fillId="2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 vertical="top" wrapText="1"/>
    </xf>
    <xf numFmtId="1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0" fontId="10" fillId="0" borderId="0" xfId="0" applyFont="1" applyAlignment="1">
      <alignment/>
    </xf>
    <xf numFmtId="11" fontId="0" fillId="0" borderId="0" xfId="0" applyNumberFormat="1" applyAlignment="1">
      <alignment/>
    </xf>
    <xf numFmtId="11" fontId="9" fillId="0" borderId="0" xfId="0" applyNumberFormat="1" applyFont="1" applyAlignment="1">
      <alignment/>
    </xf>
    <xf numFmtId="11" fontId="5" fillId="0" borderId="0" xfId="0" applyNumberFormat="1" applyFont="1" applyAlignment="1">
      <alignment/>
    </xf>
    <xf numFmtId="11" fontId="10" fillId="0" borderId="0" xfId="0" applyNumberFormat="1" applyFont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11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vertical="top" wrapText="1"/>
    </xf>
    <xf numFmtId="1" fontId="6" fillId="0" borderId="0" xfId="0" applyNumberFormat="1" applyFont="1" applyAlignment="1">
      <alignment/>
    </xf>
    <xf numFmtId="11" fontId="6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11" fontId="0" fillId="0" borderId="0" xfId="0" applyNumberFormat="1" applyAlignment="1">
      <alignment vertical="top" wrapText="1"/>
    </xf>
    <xf numFmtId="0" fontId="12" fillId="0" borderId="0" xfId="0" applyFont="1" applyAlignment="1">
      <alignment vertical="top" wrapText="1"/>
    </xf>
    <xf numFmtId="11" fontId="12" fillId="0" borderId="0" xfId="0" applyNumberFormat="1" applyFont="1" applyAlignment="1">
      <alignment vertical="top" wrapText="1"/>
    </xf>
    <xf numFmtId="1" fontId="10" fillId="0" borderId="0" xfId="0" applyNumberFormat="1" applyFont="1" applyAlignment="1">
      <alignment/>
    </xf>
    <xf numFmtId="11" fontId="10" fillId="0" borderId="0" xfId="0" applyNumberFormat="1" applyFont="1" applyAlignment="1">
      <alignment vertical="top" wrapText="1"/>
    </xf>
    <xf numFmtId="0" fontId="31" fillId="0" borderId="0" xfId="0" applyFont="1" applyAlignment="1">
      <alignment vertical="top" wrapText="1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1" fontId="5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11" fontId="5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1" fontId="0" fillId="0" borderId="10" xfId="0" applyNumberFormat="1" applyBorder="1" applyAlignment="1">
      <alignment/>
    </xf>
    <xf numFmtId="1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0" fillId="0" borderId="10" xfId="0" applyBorder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1" fontId="0" fillId="0" borderId="10" xfId="0" applyNumberFormat="1" applyBorder="1" applyAlignment="1">
      <alignment vertical="top" wrapText="1"/>
    </xf>
    <xf numFmtId="11" fontId="0" fillId="0" borderId="10" xfId="0" applyNumberFormat="1" applyBorder="1" applyAlignment="1">
      <alignment vertical="top" wrapText="1"/>
    </xf>
    <xf numFmtId="0" fontId="18" fillId="0" borderId="10" xfId="0" applyFont="1" applyBorder="1" applyAlignment="1">
      <alignment/>
    </xf>
    <xf numFmtId="0" fontId="21" fillId="0" borderId="10" xfId="0" applyFont="1" applyBorder="1" applyAlignment="1">
      <alignment vertical="top" wrapText="1"/>
    </xf>
    <xf numFmtId="1" fontId="18" fillId="0" borderId="10" xfId="0" applyNumberFormat="1" applyFont="1" applyBorder="1" applyAlignment="1">
      <alignment/>
    </xf>
    <xf numFmtId="164" fontId="18" fillId="0" borderId="10" xfId="0" applyNumberFormat="1" applyFont="1" applyBorder="1" applyAlignment="1">
      <alignment/>
    </xf>
    <xf numFmtId="11" fontId="18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2" fontId="0" fillId="0" borderId="10" xfId="0" applyNumberForma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 wrapText="1"/>
    </xf>
    <xf numFmtId="1" fontId="1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1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5" fontId="0" fillId="0" borderId="10" xfId="0" applyNumberForma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" fontId="0" fillId="0" borderId="10" xfId="0" applyNumberFormat="1" applyFont="1" applyBorder="1" applyAlignment="1">
      <alignment vertical="top" wrapText="1"/>
    </xf>
    <xf numFmtId="11" fontId="0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1" fontId="18" fillId="0" borderId="10" xfId="0" applyNumberFormat="1" applyFont="1" applyBorder="1" applyAlignment="1">
      <alignment vertical="top" wrapText="1"/>
    </xf>
    <xf numFmtId="11" fontId="18" fillId="0" borderId="10" xfId="0" applyNumberFormat="1" applyFont="1" applyBorder="1" applyAlignment="1">
      <alignment vertical="top" wrapText="1"/>
    </xf>
    <xf numFmtId="11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11" fontId="1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/>
    </xf>
    <xf numFmtId="11" fontId="0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 vertical="top" wrapText="1"/>
    </xf>
    <xf numFmtId="1" fontId="1" fillId="0" borderId="10" xfId="0" applyNumberFormat="1" applyFont="1" applyBorder="1" applyAlignment="1" quotePrefix="1">
      <alignment vertical="top" wrapText="1"/>
    </xf>
    <xf numFmtId="0" fontId="27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36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1" fontId="9" fillId="0" borderId="10" xfId="0" applyNumberFormat="1" applyFont="1" applyBorder="1" applyAlignment="1">
      <alignment vertical="top" wrapText="1"/>
    </xf>
    <xf numFmtId="11" fontId="9" fillId="0" borderId="10" xfId="0" applyNumberFormat="1" applyFont="1" applyBorder="1" applyAlignment="1">
      <alignment vertical="top" wrapText="1"/>
    </xf>
    <xf numFmtId="11" fontId="0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1" fontId="23" fillId="0" borderId="10" xfId="0" applyNumberFormat="1" applyFont="1" applyBorder="1" applyAlignment="1">
      <alignment vertical="top" wrapText="1"/>
    </xf>
    <xf numFmtId="11" fontId="23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1" fontId="12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1" fontId="10" fillId="0" borderId="10" xfId="0" applyNumberFormat="1" applyFont="1" applyBorder="1" applyAlignment="1">
      <alignment vertical="top" wrapText="1"/>
    </xf>
    <xf numFmtId="1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" fontId="10" fillId="0" borderId="10" xfId="0" applyNumberFormat="1" applyFont="1" applyBorder="1" applyAlignment="1">
      <alignment vertical="top" wrapText="1"/>
    </xf>
    <xf numFmtId="1" fontId="9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11" fontId="12" fillId="0" borderId="10" xfId="0" applyNumberFormat="1" applyFont="1" applyBorder="1" applyAlignment="1">
      <alignment vertical="top" wrapText="1"/>
    </xf>
    <xf numFmtId="164" fontId="10" fillId="0" borderId="10" xfId="0" applyNumberFormat="1" applyFont="1" applyBorder="1" applyAlignment="1">
      <alignment vertical="top" wrapText="1"/>
    </xf>
    <xf numFmtId="0" fontId="29" fillId="0" borderId="10" xfId="0" applyFont="1" applyBorder="1" applyAlignment="1">
      <alignment vertical="top" wrapText="1"/>
    </xf>
    <xf numFmtId="164" fontId="29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 shrinkToFit="1"/>
    </xf>
    <xf numFmtId="0" fontId="37" fillId="0" borderId="10" xfId="0" applyFont="1" applyBorder="1" applyAlignment="1">
      <alignment vertical="top" wrapText="1"/>
    </xf>
    <xf numFmtId="11" fontId="37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vertical="top" wrapText="1"/>
    </xf>
    <xf numFmtId="165" fontId="0" fillId="0" borderId="10" xfId="0" applyNumberFormat="1" applyBorder="1" applyAlignment="1">
      <alignment vertical="top" wrapText="1"/>
    </xf>
    <xf numFmtId="1" fontId="10" fillId="0" borderId="10" xfId="0" applyNumberFormat="1" applyFont="1" applyBorder="1" applyAlignment="1">
      <alignment vertical="top" wrapText="1"/>
    </xf>
    <xf numFmtId="11" fontId="10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1" fontId="24" fillId="0" borderId="10" xfId="0" applyNumberFormat="1" applyFont="1" applyBorder="1" applyAlignment="1">
      <alignment vertical="top" wrapText="1"/>
    </xf>
    <xf numFmtId="11" fontId="24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vertical="top" wrapText="1"/>
    </xf>
    <xf numFmtId="164" fontId="0" fillId="0" borderId="10" xfId="0" applyNumberFormat="1" applyFont="1" applyBorder="1" applyAlignment="1">
      <alignment vertical="top" wrapText="1"/>
    </xf>
    <xf numFmtId="15" fontId="0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64" fontId="0" fillId="0" borderId="10" xfId="0" applyNumberFormat="1" applyFill="1" applyBorder="1" applyAlignment="1">
      <alignment vertical="top" wrapText="1"/>
    </xf>
    <xf numFmtId="1" fontId="10" fillId="0" borderId="0" xfId="0" applyNumberFormat="1" applyFont="1" applyAlignment="1">
      <alignment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9" fillId="0" borderId="10" xfId="0" applyFont="1" applyBorder="1" applyAlignment="1">
      <alignment vertical="top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11" fontId="1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1" fontId="10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41" fillId="0" borderId="10" xfId="0" applyFont="1" applyBorder="1" applyAlignment="1">
      <alignment vertical="top" wrapText="1"/>
    </xf>
    <xf numFmtId="0" fontId="27" fillId="0" borderId="10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44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40" fillId="0" borderId="10" xfId="0" applyFont="1" applyBorder="1" applyAlignment="1">
      <alignment/>
    </xf>
    <xf numFmtId="11" fontId="40" fillId="0" borderId="10" xfId="0" applyNumberFormat="1" applyFont="1" applyBorder="1" applyAlignment="1">
      <alignment/>
    </xf>
    <xf numFmtId="1" fontId="40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47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0" fontId="48" fillId="0" borderId="10" xfId="0" applyFont="1" applyBorder="1" applyAlignment="1">
      <alignment vertical="top" wrapText="1"/>
    </xf>
    <xf numFmtId="11" fontId="48" fillId="0" borderId="10" xfId="0" applyNumberFormat="1" applyFont="1" applyBorder="1" applyAlignment="1">
      <alignment vertical="top" wrapText="1"/>
    </xf>
    <xf numFmtId="0" fontId="48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 vertical="top"/>
    </xf>
    <xf numFmtId="0" fontId="10" fillId="0" borderId="10" xfId="0" applyFont="1" applyBorder="1" applyAlignment="1">
      <alignment vertical="top"/>
    </xf>
    <xf numFmtId="11" fontId="0" fillId="0" borderId="10" xfId="0" applyNumberFormat="1" applyBorder="1" applyAlignment="1">
      <alignment vertical="top"/>
    </xf>
    <xf numFmtId="1" fontId="0" fillId="0" borderId="10" xfId="0" applyNumberFormat="1" applyBorder="1" applyAlignment="1">
      <alignment vertical="top"/>
    </xf>
    <xf numFmtId="11" fontId="10" fillId="0" borderId="10" xfId="0" applyNumberFormat="1" applyFont="1" applyBorder="1" applyAlignment="1">
      <alignment vertical="top"/>
    </xf>
    <xf numFmtId="0" fontId="47" fillId="0" borderId="10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48" fillId="0" borderId="10" xfId="0" applyFont="1" applyBorder="1" applyAlignment="1">
      <alignment vertical="top"/>
    </xf>
    <xf numFmtId="11" fontId="9" fillId="0" borderId="10" xfId="0" applyNumberFormat="1" applyFont="1" applyBorder="1" applyAlignment="1">
      <alignment/>
    </xf>
    <xf numFmtId="11" fontId="10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11" fontId="1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1" fontId="6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0" fontId="36" fillId="0" borderId="0" xfId="0" applyFont="1" applyAlignment="1">
      <alignment/>
    </xf>
    <xf numFmtId="1" fontId="0" fillId="0" borderId="0" xfId="0" applyNumberFormat="1" applyAlignment="1">
      <alignment vertical="top" wrapText="1"/>
    </xf>
    <xf numFmtId="1" fontId="1" fillId="0" borderId="0" xfId="0" applyNumberFormat="1" applyFont="1" applyAlignment="1">
      <alignment vertical="top" wrapText="1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64" fontId="0" fillId="0" borderId="0" xfId="0" applyNumberFormat="1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64" fontId="0" fillId="0" borderId="0" xfId="0" applyNumberFormat="1" applyBorder="1" applyAlignment="1">
      <alignment vertical="top" wrapText="1"/>
    </xf>
    <xf numFmtId="164" fontId="0" fillId="0" borderId="0" xfId="0" applyNumberFormat="1" applyBorder="1" applyAlignment="1">
      <alignment/>
    </xf>
    <xf numFmtId="0" fontId="24" fillId="0" borderId="0" xfId="0" applyFont="1" applyAlignment="1">
      <alignment vertical="top" wrapText="1"/>
    </xf>
    <xf numFmtId="1" fontId="24" fillId="0" borderId="0" xfId="0" applyNumberFormat="1" applyFont="1" applyBorder="1" applyAlignment="1">
      <alignment vertical="top" wrapText="1"/>
    </xf>
    <xf numFmtId="11" fontId="24" fillId="0" borderId="0" xfId="0" applyNumberFormat="1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1" fontId="10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165" fontId="0" fillId="0" borderId="0" xfId="0" applyNumberFormat="1" applyAlignment="1">
      <alignment vertical="top" wrapText="1"/>
    </xf>
    <xf numFmtId="1" fontId="50" fillId="0" borderId="0" xfId="0" applyNumberFormat="1" applyFont="1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vertical="top" wrapText="1"/>
    </xf>
    <xf numFmtId="1" fontId="50" fillId="0" borderId="0" xfId="0" applyNumberFormat="1" applyFont="1" applyBorder="1" applyAlignment="1">
      <alignment/>
    </xf>
    <xf numFmtId="1" fontId="50" fillId="0" borderId="0" xfId="0" applyNumberFormat="1" applyFont="1" applyBorder="1" applyAlignment="1">
      <alignment horizontal="left"/>
    </xf>
    <xf numFmtId="1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11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vertical="top" wrapText="1"/>
    </xf>
    <xf numFmtId="164" fontId="6" fillId="0" borderId="0" xfId="0" applyNumberFormat="1" applyFont="1" applyAlignment="1">
      <alignment vertical="top" wrapText="1"/>
    </xf>
    <xf numFmtId="1" fontId="6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/>
    </xf>
    <xf numFmtId="11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left" vertical="top" wrapText="1"/>
    </xf>
    <xf numFmtId="165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11" fontId="10" fillId="0" borderId="10" xfId="0" applyNumberFormat="1" applyFont="1" applyFill="1" applyBorder="1" applyAlignment="1">
      <alignment/>
    </xf>
    <xf numFmtId="11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vertical="top" wrapText="1"/>
    </xf>
    <xf numFmtId="3" fontId="0" fillId="0" borderId="0" xfId="0" applyNumberFormat="1" applyAlignment="1">
      <alignment/>
    </xf>
    <xf numFmtId="0" fontId="1" fillId="0" borderId="12" xfId="0" applyFont="1" applyFill="1" applyBorder="1" applyAlignment="1">
      <alignment vertical="top" wrapText="1"/>
    </xf>
    <xf numFmtId="11" fontId="0" fillId="0" borderId="12" xfId="0" applyNumberFormat="1" applyBorder="1" applyAlignment="1">
      <alignment/>
    </xf>
    <xf numFmtId="11" fontId="5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Fill="1" applyBorder="1" applyAlignment="1">
      <alignment vertical="top" wrapText="1"/>
    </xf>
    <xf numFmtId="2" fontId="0" fillId="0" borderId="10" xfId="0" applyNumberFormat="1" applyBorder="1" applyAlignment="1">
      <alignment vertical="top"/>
    </xf>
    <xf numFmtId="0" fontId="12" fillId="0" borderId="10" xfId="0" applyFont="1" applyBorder="1" applyAlignment="1">
      <alignment vertical="top"/>
    </xf>
    <xf numFmtId="1" fontId="12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vertical="top"/>
    </xf>
    <xf numFmtId="1" fontId="10" fillId="0" borderId="10" xfId="0" applyNumberFormat="1" applyFont="1" applyBorder="1" applyAlignment="1">
      <alignment vertical="top"/>
    </xf>
    <xf numFmtId="11" fontId="12" fillId="0" borderId="10" xfId="0" applyNumberFormat="1" applyFont="1" applyBorder="1" applyAlignment="1">
      <alignment vertical="top"/>
    </xf>
    <xf numFmtId="0" fontId="1" fillId="0" borderId="11" xfId="0" applyFont="1" applyFill="1" applyBorder="1" applyAlignment="1">
      <alignment/>
    </xf>
    <xf numFmtId="0" fontId="52" fillId="0" borderId="10" xfId="0" applyFont="1" applyBorder="1" applyAlignment="1">
      <alignment vertical="top" wrapText="1"/>
    </xf>
    <xf numFmtId="11" fontId="52" fillId="0" borderId="10" xfId="0" applyNumberFormat="1" applyFont="1" applyBorder="1" applyAlignment="1">
      <alignment vertical="top" wrapText="1"/>
    </xf>
    <xf numFmtId="11" fontId="52" fillId="0" borderId="10" xfId="0" applyNumberFormat="1" applyFont="1" applyBorder="1" applyAlignment="1">
      <alignment/>
    </xf>
    <xf numFmtId="0" fontId="53" fillId="0" borderId="10" xfId="0" applyFont="1" applyFill="1" applyBorder="1" applyAlignment="1">
      <alignment vertical="top" wrapText="1"/>
    </xf>
    <xf numFmtId="11" fontId="53" fillId="0" borderId="10" xfId="0" applyNumberFormat="1" applyFont="1" applyBorder="1" applyAlignment="1">
      <alignment vertical="top" wrapText="1"/>
    </xf>
    <xf numFmtId="0" fontId="52" fillId="0" borderId="10" xfId="0" applyFont="1" applyFill="1" applyBorder="1" applyAlignment="1">
      <alignment vertical="top" wrapText="1"/>
    </xf>
    <xf numFmtId="0" fontId="54" fillId="0" borderId="10" xfId="0" applyFont="1" applyBorder="1" applyAlignment="1">
      <alignment/>
    </xf>
    <xf numFmtId="11" fontId="54" fillId="0" borderId="10" xfId="0" applyNumberFormat="1" applyFont="1" applyBorder="1" applyAlignment="1">
      <alignment/>
    </xf>
    <xf numFmtId="0" fontId="55" fillId="0" borderId="10" xfId="0" applyFont="1" applyBorder="1" applyAlignment="1">
      <alignment vertical="top" wrapText="1"/>
    </xf>
    <xf numFmtId="2" fontId="52" fillId="0" borderId="10" xfId="0" applyNumberFormat="1" applyFont="1" applyBorder="1" applyAlignment="1">
      <alignment vertical="top" wrapText="1"/>
    </xf>
    <xf numFmtId="2" fontId="52" fillId="0" borderId="10" xfId="0" applyNumberFormat="1" applyFont="1" applyBorder="1" applyAlignment="1">
      <alignment/>
    </xf>
    <xf numFmtId="0" fontId="54" fillId="0" borderId="10" xfId="0" applyFont="1" applyBorder="1" applyAlignment="1">
      <alignment vertical="top" wrapText="1"/>
    </xf>
    <xf numFmtId="11" fontId="54" fillId="0" borderId="10" xfId="0" applyNumberFormat="1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11" fontId="56" fillId="0" borderId="10" xfId="0" applyNumberFormat="1" applyFont="1" applyBorder="1" applyAlignment="1">
      <alignment/>
    </xf>
    <xf numFmtId="0" fontId="54" fillId="0" borderId="11" xfId="0" applyFont="1" applyFill="1" applyBorder="1" applyAlignment="1">
      <alignment/>
    </xf>
    <xf numFmtId="0" fontId="57" fillId="0" borderId="10" xfId="0" applyFont="1" applyBorder="1" applyAlignment="1">
      <alignment vertical="top" wrapText="1"/>
    </xf>
    <xf numFmtId="0" fontId="57" fillId="0" borderId="0" xfId="0" applyFont="1" applyAlignment="1">
      <alignment/>
    </xf>
    <xf numFmtId="9" fontId="52" fillId="0" borderId="10" xfId="0" applyNumberFormat="1" applyFont="1" applyBorder="1" applyAlignment="1">
      <alignment vertical="top" wrapText="1"/>
    </xf>
    <xf numFmtId="0" fontId="52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vertical="top" wrapText="1"/>
    </xf>
    <xf numFmtId="11" fontId="52" fillId="0" borderId="10" xfId="0" applyNumberFormat="1" applyFont="1" applyBorder="1" applyAlignment="1">
      <alignment vertical="top"/>
    </xf>
    <xf numFmtId="0" fontId="10" fillId="0" borderId="1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17" borderId="10" xfId="0" applyFill="1" applyBorder="1" applyAlignment="1">
      <alignment vertical="top" wrapText="1"/>
    </xf>
    <xf numFmtId="11" fontId="0" fillId="17" borderId="10" xfId="0" applyNumberFormat="1" applyFill="1" applyBorder="1" applyAlignment="1">
      <alignment vertical="top" wrapText="1"/>
    </xf>
    <xf numFmtId="0" fontId="0" fillId="17" borderId="10" xfId="0" applyFill="1" applyBorder="1" applyAlignment="1">
      <alignment vertical="top"/>
    </xf>
    <xf numFmtId="164" fontId="0" fillId="0" borderId="10" xfId="0" applyNumberFormat="1" applyBorder="1" applyAlignment="1">
      <alignment vertical="top"/>
    </xf>
    <xf numFmtId="164" fontId="0" fillId="0" borderId="10" xfId="0" applyNumberFormat="1" applyFill="1" applyBorder="1" applyAlignment="1">
      <alignment vertical="top"/>
    </xf>
    <xf numFmtId="1" fontId="0" fillId="0" borderId="10" xfId="0" applyNumberFormat="1" applyFill="1" applyBorder="1" applyAlignment="1">
      <alignment vertical="top"/>
    </xf>
    <xf numFmtId="0" fontId="0" fillId="18" borderId="10" xfId="0" applyFill="1" applyBorder="1" applyAlignment="1">
      <alignment vertical="top" wrapText="1"/>
    </xf>
    <xf numFmtId="11" fontId="0" fillId="18" borderId="10" xfId="0" applyNumberFormat="1" applyFill="1" applyBorder="1" applyAlignment="1">
      <alignment vertical="top" wrapText="1"/>
    </xf>
    <xf numFmtId="164" fontId="0" fillId="18" borderId="10" xfId="0" applyNumberFormat="1" applyFill="1" applyBorder="1" applyAlignment="1">
      <alignment vertical="top"/>
    </xf>
    <xf numFmtId="1" fontId="0" fillId="18" borderId="10" xfId="0" applyNumberFormat="1" applyFill="1" applyBorder="1" applyAlignment="1">
      <alignment vertical="top"/>
    </xf>
    <xf numFmtId="0" fontId="0" fillId="0" borderId="11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55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55" fillId="0" borderId="15" xfId="0" applyFont="1" applyFill="1" applyBorder="1" applyAlignment="1">
      <alignment vertical="top" wrapText="1"/>
    </xf>
    <xf numFmtId="0" fontId="1" fillId="0" borderId="1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Package Materials &amp; Production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39525"/>
          <c:w val="0.898"/>
          <c:h val="0.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'Boiler Disposal&amp;Recycling'!$L$8</c:f>
              <c:strCache>
                <c:ptCount val="1"/>
                <c:pt idx="0">
                  <c:v>Eco Indicator Value (KPt)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'Boiler Disposal&amp;Recycling'!$K$9:$K$18</c:f>
              <c:strCache/>
            </c:strRef>
          </c:cat>
          <c:val>
            <c:numRef>
              <c:f>'Boiler Disposal&amp;Recycling'!$L$9:$L$18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7601354"/>
        <c:axId val="25759003"/>
      </c:barChart>
      <c:catAx>
        <c:axId val="47601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Sub Element</a:t>
                </a:r>
              </a:p>
            </c:rich>
          </c:tx>
          <c:layout>
            <c:manualLayout>
              <c:xMode val="factor"/>
              <c:yMode val="factor"/>
              <c:x val="-0.16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59003"/>
        <c:crosses val="autoZero"/>
        <c:auto val="1"/>
        <c:lblOffset val="100"/>
        <c:tickLblSkip val="1"/>
        <c:noMultiLvlLbl val="0"/>
      </c:catAx>
      <c:valAx>
        <c:axId val="25759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Eco Indicator (KPt)</a:t>
                </a:r>
              </a:p>
            </c:rich>
          </c:tx>
          <c:layout>
            <c:manualLayout>
              <c:xMode val="factor"/>
              <c:yMode val="factor"/>
              <c:x val="-0.04175"/>
              <c:y val="0.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7601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Load for LLW Packages (Steel only, 2010 UKRWI)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6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3395"/>
          <c:w val="0.92775"/>
          <c:h val="0.5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'All Wastes'!$I$47</c:f>
              <c:strCache>
                <c:ptCount val="1"/>
                <c:pt idx="0">
                  <c:v>Eco Indicator for Metals Packages (KPt)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Wastes'!$H$48:$H$54</c:f>
              <c:strCache/>
            </c:strRef>
          </c:cat>
          <c:val>
            <c:numRef>
              <c:f>'All Wastes'!$I$48:$I$54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6670532"/>
        <c:axId val="63163877"/>
      </c:barChart>
      <c:catAx>
        <c:axId val="66670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Package Type</a:t>
                </a:r>
              </a:p>
            </c:rich>
          </c:tx>
          <c:layout>
            <c:manualLayout>
              <c:xMode val="factor"/>
              <c:yMode val="factor"/>
              <c:x val="-0.06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3163877"/>
        <c:crosses val="autoZero"/>
        <c:auto val="1"/>
        <c:lblOffset val="100"/>
        <c:tickLblSkip val="1"/>
        <c:noMultiLvlLbl val="0"/>
      </c:catAx>
      <c:valAx>
        <c:axId val="63163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Eco Indicator 99 (2000) (KPt)</a:t>
                </a:r>
              </a:p>
            </c:rich>
          </c:tx>
          <c:layout>
            <c:manualLayout>
              <c:xMode val="factor"/>
              <c:yMode val="factor"/>
              <c:x val="-0.022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66705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Environmental Load for VLLW Packages (Steel only,2010 UKRWI)</a:t>
            </a:r>
          </a:p>
        </c:rich>
      </c:tx>
      <c:layout>
        <c:manualLayout>
          <c:xMode val="factor"/>
          <c:yMode val="factor"/>
          <c:x val="0.063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287"/>
          <c:w val="0.9275"/>
          <c:h val="0.6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'All Wastes'!$I$56</c:f>
              <c:strCache>
                <c:ptCount val="1"/>
                <c:pt idx="0">
                  <c:v>Eco Indicator (for Metals Packages) (KPt)</c:v>
                </c:pt>
              </c:strCache>
            </c:strRef>
          </c:tx>
          <c:spPr>
            <a:solidFill>
              <a:srgbClr val="DD080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Wastes'!$H$57:$H$62</c:f>
              <c:strCache/>
            </c:strRef>
          </c:cat>
          <c:val>
            <c:numRef>
              <c:f>'All Wastes'!$I$57:$I$62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1603982"/>
        <c:axId val="16000383"/>
      </c:barChart>
      <c:catAx>
        <c:axId val="31603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Package Type</a:t>
                </a:r>
              </a:p>
            </c:rich>
          </c:tx>
          <c:layout>
            <c:manualLayout>
              <c:xMode val="factor"/>
              <c:yMode val="factor"/>
              <c:x val="-0.066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6000383"/>
        <c:crosses val="autoZero"/>
        <c:auto val="1"/>
        <c:lblOffset val="100"/>
        <c:tickLblSkip val="1"/>
        <c:noMultiLvlLbl val="0"/>
      </c:catAx>
      <c:valAx>
        <c:axId val="16000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Eco Indicator 99 (2000) (KPt)</a:t>
                </a:r>
              </a:p>
            </c:rich>
          </c:tx>
          <c:layout>
            <c:manualLayout>
              <c:xMode val="factor"/>
              <c:yMode val="factor"/>
              <c:x val="-0.021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16039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Individual Radioactive Metal Embodied Energy (Recycling)  to 2120</a:t>
            </a:r>
          </a:p>
        </c:rich>
      </c:tx>
      <c:layout>
        <c:manualLayout>
          <c:xMode val="factor"/>
          <c:yMode val="factor"/>
          <c:x val="-0.062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30325"/>
          <c:w val="0.91175"/>
          <c:h val="0.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Wastes'!$G$117:$G$149</c:f>
              <c:strCache/>
            </c:strRef>
          </c:cat>
          <c:val>
            <c:numRef>
              <c:f>'All Wastes'!$H$117:$H$149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axId val="9785720"/>
        <c:axId val="20962617"/>
      </c:barChart>
      <c:catAx>
        <c:axId val="9785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Metal</a:t>
                </a:r>
              </a:p>
            </c:rich>
          </c:tx>
          <c:layout>
            <c:manualLayout>
              <c:xMode val="factor"/>
              <c:yMode val="factor"/>
              <c:x val="-0.15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62617"/>
        <c:crosses val="autoZero"/>
        <c:auto val="1"/>
        <c:lblOffset val="100"/>
        <c:tickLblSkip val="2"/>
        <c:noMultiLvlLbl val="0"/>
      </c:catAx>
      <c:valAx>
        <c:axId val="20962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Embodied Energy (TJ)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02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97857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RadioactiveMetals Embodied Energy (Recycling)  to 2120</a:t>
            </a:r>
          </a:p>
        </c:rich>
      </c:tx>
      <c:layout>
        <c:manualLayout>
          <c:xMode val="factor"/>
          <c:yMode val="factor"/>
          <c:x val="0.07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35075"/>
          <c:w val="0.8965"/>
          <c:h val="0.5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'All Wastes'!$H$152</c:f>
              <c:strCache>
                <c:ptCount val="1"/>
                <c:pt idx="0">
                  <c:v>Embodied Energy (TJ)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Wastes'!$G$153:$G$160</c:f>
              <c:strCache/>
            </c:strRef>
          </c:cat>
          <c:val>
            <c:numRef>
              <c:f>'All Wastes'!$H$153:$H$160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4445826"/>
        <c:axId val="20250387"/>
      </c:barChart>
      <c:catAx>
        <c:axId val="54445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Metal</a:t>
                </a:r>
              </a:p>
            </c:rich>
          </c:tx>
          <c:layout>
            <c:manualLayout>
              <c:xMode val="factor"/>
              <c:yMode val="factor"/>
              <c:x val="-0.089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50387"/>
        <c:crosses val="autoZero"/>
        <c:auto val="1"/>
        <c:lblOffset val="100"/>
        <c:tickLblSkip val="1"/>
        <c:noMultiLvlLbl val="0"/>
      </c:catAx>
      <c:valAx>
        <c:axId val="20250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Embodied Energy (TJ)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44458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Individual Radioactive Metals CO2 Footprint (Recycling) to 2120</a:t>
            </a:r>
          </a:p>
        </c:rich>
      </c:tx>
      <c:layout>
        <c:manualLayout>
          <c:xMode val="factor"/>
          <c:yMode val="factor"/>
          <c:x val="-0.039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26825"/>
          <c:w val="0.91075"/>
          <c:h val="0.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Wastes'!$I$117:$I$149</c:f>
              <c:strCache/>
            </c:strRef>
          </c:cat>
          <c:val>
            <c:numRef>
              <c:f>'All Wastes'!$J$117:$J$149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axId val="48035756"/>
        <c:axId val="29668621"/>
      </c:barChart>
      <c:catAx>
        <c:axId val="48035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Metal</a:t>
                </a:r>
              </a:p>
            </c:rich>
          </c:tx>
          <c:layout>
            <c:manualLayout>
              <c:xMode val="factor"/>
              <c:yMode val="factor"/>
              <c:x val="-0.11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68621"/>
        <c:crosses val="autoZero"/>
        <c:auto val="1"/>
        <c:lblOffset val="100"/>
        <c:tickLblSkip val="2"/>
        <c:noMultiLvlLbl val="0"/>
      </c:catAx>
      <c:valAx>
        <c:axId val="29668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CO2 Footprint (Mkg)</a:t>
                </a:r>
              </a:p>
            </c:rich>
          </c:tx>
          <c:layout>
            <c:manualLayout>
              <c:xMode val="factor"/>
              <c:yMode val="factor"/>
              <c:x val="-0.031"/>
              <c:y val="-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80357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Radioactive Metals CO2 Footprint (Recycling) to 2120</a:t>
            </a:r>
          </a:p>
        </c:rich>
      </c:tx>
      <c:layout>
        <c:manualLayout>
          <c:xMode val="factor"/>
          <c:yMode val="factor"/>
          <c:x val="-0.029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30325"/>
          <c:w val="0.8925"/>
          <c:h val="0.5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Wastes'!$I$153:$I$160</c:f>
              <c:strCache/>
            </c:strRef>
          </c:cat>
          <c:val>
            <c:numRef>
              <c:f>'All Wastes'!$J$153:$J$160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5690998"/>
        <c:axId val="54348071"/>
      </c:barChart>
      <c:catAx>
        <c:axId val="65690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Metal</a:t>
                </a:r>
              </a:p>
            </c:rich>
          </c:tx>
          <c:layout>
            <c:manualLayout>
              <c:xMode val="factor"/>
              <c:yMode val="factor"/>
              <c:x val="-0.09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48071"/>
        <c:crosses val="autoZero"/>
        <c:auto val="1"/>
        <c:lblOffset val="100"/>
        <c:tickLblSkip val="1"/>
        <c:noMultiLvlLbl val="0"/>
      </c:catAx>
      <c:valAx>
        <c:axId val="54348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CO2 Footprint (Mkg)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56909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Individual Radioactive Metal Embodied Energy (Production) to 2120</a:t>
            </a:r>
          </a:p>
        </c:rich>
      </c:tx>
      <c:layout>
        <c:manualLayout>
          <c:xMode val="factor"/>
          <c:yMode val="factor"/>
          <c:x val="-0.026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3075"/>
          <c:w val="0.911"/>
          <c:h val="0.5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Wastes'!$G$163:$G$195</c:f>
              <c:strCache/>
            </c:strRef>
          </c:cat>
          <c:val>
            <c:numRef>
              <c:f>'All Wastes'!$H$163:$H$195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axId val="19370592"/>
        <c:axId val="40117601"/>
      </c:barChart>
      <c:catAx>
        <c:axId val="19370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Metal</a:t>
                </a:r>
              </a:p>
            </c:rich>
          </c:tx>
          <c:layout>
            <c:manualLayout>
              <c:xMode val="factor"/>
              <c:yMode val="factor"/>
              <c:x val="-0.10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17601"/>
        <c:crosses val="autoZero"/>
        <c:auto val="1"/>
        <c:lblOffset val="100"/>
        <c:tickLblSkip val="2"/>
        <c:noMultiLvlLbl val="0"/>
      </c:catAx>
      <c:valAx>
        <c:axId val="40117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Embodied Energy (TJ)</a:t>
                </a:r>
              </a:p>
            </c:rich>
          </c:tx>
          <c:layout>
            <c:manualLayout>
              <c:xMode val="factor"/>
              <c:yMode val="factor"/>
              <c:x val="-0.0315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93705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Radioactive Metals Embodied Energy (Production) to 2120</a:t>
            </a:r>
          </a:p>
        </c:rich>
      </c:tx>
      <c:layout>
        <c:manualLayout>
          <c:xMode val="factor"/>
          <c:yMode val="factor"/>
          <c:x val="-0.030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288"/>
          <c:w val="0.8995"/>
          <c:h val="0.61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Wastes'!$G$199:$G$206</c:f>
              <c:strCache/>
            </c:strRef>
          </c:cat>
          <c:val>
            <c:numRef>
              <c:f>'All Wastes'!$H$199:$H$206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5514090"/>
        <c:axId val="28300219"/>
      </c:barChart>
      <c:catAx>
        <c:axId val="25514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Metal</a:t>
                </a:r>
              </a:p>
            </c:rich>
          </c:tx>
          <c:layout>
            <c:manualLayout>
              <c:xMode val="factor"/>
              <c:yMode val="factor"/>
              <c:x val="-0.08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00219"/>
        <c:crosses val="autoZero"/>
        <c:auto val="1"/>
        <c:lblOffset val="100"/>
        <c:tickLblSkip val="1"/>
        <c:noMultiLvlLbl val="0"/>
      </c:catAx>
      <c:valAx>
        <c:axId val="28300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Embodied Energy (TJ)</a:t>
                </a:r>
              </a:p>
            </c:rich>
          </c:tx>
          <c:layout>
            <c:manualLayout>
              <c:xMode val="factor"/>
              <c:yMode val="factor"/>
              <c:x val="-0.024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55140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Individual Radioactive Metals CO2 Footprint (Production) to 2120</a:t>
            </a:r>
          </a:p>
        </c:rich>
      </c:tx>
      <c:layout>
        <c:manualLayout>
          <c:xMode val="factor"/>
          <c:yMode val="factor"/>
          <c:x val="-0.036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30525"/>
          <c:w val="0.91125"/>
          <c:h val="0.5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Wastes'!$I$163:$I$195</c:f>
              <c:strCache/>
            </c:strRef>
          </c:cat>
          <c:val>
            <c:numRef>
              <c:f>'All Wastes'!$J$163:$J$195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axId val="53375380"/>
        <c:axId val="10616373"/>
      </c:barChart>
      <c:catAx>
        <c:axId val="53375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Metal</a:t>
                </a:r>
              </a:p>
            </c:rich>
          </c:tx>
          <c:layout>
            <c:manualLayout>
              <c:xMode val="factor"/>
              <c:yMode val="factor"/>
              <c:x val="-0.103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6373"/>
        <c:crosses val="autoZero"/>
        <c:auto val="1"/>
        <c:lblOffset val="100"/>
        <c:tickLblSkip val="2"/>
        <c:noMultiLvlLbl val="0"/>
      </c:catAx>
      <c:valAx>
        <c:axId val="1061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CO2 Footprint (Mkg)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33753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Radioactive Metals CO2 Footprint (Production) to 2120</a:t>
            </a:r>
          </a:p>
        </c:rich>
      </c:tx>
      <c:layout>
        <c:manualLayout>
          <c:xMode val="factor"/>
          <c:yMode val="factor"/>
          <c:x val="-0.045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261"/>
          <c:w val="0.90225"/>
          <c:h val="0.63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Wastes'!$I$199:$I$206</c:f>
              <c:strCache/>
            </c:strRef>
          </c:cat>
          <c:val>
            <c:numRef>
              <c:f>'All Wastes'!$J$199:$J$206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8438494"/>
        <c:axId val="54619855"/>
      </c:barChart>
      <c:catAx>
        <c:axId val="28438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Metal</a:t>
                </a:r>
              </a:p>
            </c:rich>
          </c:tx>
          <c:layout>
            <c:manualLayout>
              <c:xMode val="factor"/>
              <c:yMode val="factor"/>
              <c:x val="-0.09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19855"/>
        <c:crosses val="autoZero"/>
        <c:auto val="1"/>
        <c:lblOffset val="100"/>
        <c:tickLblSkip val="1"/>
        <c:noMultiLvlLbl val="0"/>
      </c:catAx>
      <c:valAx>
        <c:axId val="54619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CO2 Footprint (Mkg)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84384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Package Transport Environmental Load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36675"/>
          <c:w val="0.90025"/>
          <c:h val="0.5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'Boiler Disposal&amp;Recycling'!$L$29</c:f>
              <c:strCache>
                <c:ptCount val="1"/>
                <c:pt idx="0">
                  <c:v>Eco Indicator (KPt) for all Packages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'Boiler Disposal&amp;Recycling'!$K$30:$K$31</c:f>
              <c:strCache/>
            </c:strRef>
          </c:cat>
          <c:val>
            <c:numRef>
              <c:f>'Boiler Disposal&amp;Recycling'!$L$30:$L$31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0504436"/>
        <c:axId val="6104469"/>
      </c:barChart>
      <c:catAx>
        <c:axId val="30504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Package Use</a:t>
                </a:r>
              </a:p>
            </c:rich>
          </c:tx>
          <c:layout>
            <c:manualLayout>
              <c:xMode val="factor"/>
              <c:yMode val="factor"/>
              <c:x val="-0.044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104469"/>
        <c:crosses val="autoZero"/>
        <c:auto val="1"/>
        <c:lblOffset val="100"/>
        <c:tickLblSkip val="1"/>
        <c:noMultiLvlLbl val="0"/>
      </c:catAx>
      <c:valAx>
        <c:axId val="6104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Eco Indicator (KPt)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05044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Radioactive Metals Embodied Energy to 2120 </a:t>
            </a:r>
          </a:p>
        </c:rich>
      </c:tx>
      <c:layout>
        <c:manualLayout>
          <c:xMode val="factor"/>
          <c:yMode val="factor"/>
          <c:x val="-0.063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398"/>
          <c:w val="0.8245"/>
          <c:h val="0.5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'All Wastes'!$H$208</c:f>
              <c:strCache>
                <c:ptCount val="1"/>
                <c:pt idx="0">
                  <c:v>Embodied Energy (Recycling) (TJ)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Wastes'!$G$209:$G$216</c:f>
              <c:strCache/>
            </c:strRef>
          </c:cat>
          <c:val>
            <c:numRef>
              <c:f>'All Wastes'!$H$209:$H$216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'All Wastes'!$I$208</c:f>
              <c:strCache>
                <c:ptCount val="1"/>
                <c:pt idx="0">
                  <c:v>Embodied Energy (Production) (TJ)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Wastes'!$G$209:$G$216</c:f>
              <c:strCache/>
            </c:strRef>
          </c:cat>
          <c:val>
            <c:numRef>
              <c:f>'All Wastes'!$I$209:$I$216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1816648"/>
        <c:axId val="62132105"/>
      </c:barChart>
      <c:catAx>
        <c:axId val="21816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Metal</a:t>
                </a:r>
              </a:p>
            </c:rich>
          </c:tx>
          <c:layout>
            <c:manualLayout>
              <c:xMode val="factor"/>
              <c:yMode val="factor"/>
              <c:x val="-0.12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32105"/>
        <c:crosses val="autoZero"/>
        <c:auto val="1"/>
        <c:lblOffset val="100"/>
        <c:tickLblSkip val="1"/>
        <c:noMultiLvlLbl val="0"/>
      </c:catAx>
      <c:valAx>
        <c:axId val="62132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Embodied Energy (TJ)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166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35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35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0525"/>
          <c:y val="0.2465"/>
          <c:w val="0.52725"/>
          <c:h val="0.061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Radioactive Metals CO2 Footprint to 2120</a:t>
            </a:r>
          </a:p>
        </c:rich>
      </c:tx>
      <c:layout>
        <c:manualLayout>
          <c:xMode val="factor"/>
          <c:yMode val="factor"/>
          <c:x val="-0.05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42025"/>
          <c:w val="0.90525"/>
          <c:h val="0.4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'All Wastes'!$H$218</c:f>
              <c:strCache>
                <c:ptCount val="1"/>
                <c:pt idx="0">
                  <c:v>CO2 Footprint (Recycling) (Mkg)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Wastes'!$G$219:$G$226</c:f>
              <c:strCache/>
            </c:strRef>
          </c:cat>
          <c:val>
            <c:numRef>
              <c:f>'All Wastes'!$H$219:$H$226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'All Wastes'!$I$218</c:f>
              <c:strCache>
                <c:ptCount val="1"/>
                <c:pt idx="0">
                  <c:v>CO2 Footprint (Production) (Mkg)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Wastes'!$G$219:$G$226</c:f>
              <c:strCache/>
            </c:strRef>
          </c:cat>
          <c:val>
            <c:numRef>
              <c:f>'All Wastes'!$I$219:$I$226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2318034"/>
        <c:axId val="66644579"/>
      </c:barChart>
      <c:catAx>
        <c:axId val="22318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Metal</a:t>
                </a:r>
              </a:p>
            </c:rich>
          </c:tx>
          <c:layout>
            <c:manualLayout>
              <c:xMode val="factor"/>
              <c:yMode val="factor"/>
              <c:x val="-0.107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6644579"/>
        <c:crosses val="autoZero"/>
        <c:auto val="1"/>
        <c:lblOffset val="100"/>
        <c:tickLblSkip val="1"/>
        <c:noMultiLvlLbl val="0"/>
      </c:catAx>
      <c:valAx>
        <c:axId val="66644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CO2 Foot Print (Mkg)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23180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15"/>
          <c:y val="0.232"/>
          <c:w val="0.508"/>
          <c:h val="0.062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3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Environmental load, individual ILW packages (steel &amp; concrete shielding, 2010 UKRWI)</a:t>
            </a:r>
          </a:p>
        </c:rich>
      </c:tx>
      <c:layout>
        <c:manualLayout>
          <c:xMode val="factor"/>
          <c:yMode val="factor"/>
          <c:x val="0.07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32725"/>
          <c:w val="0.92925"/>
          <c:h val="0.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'Metal Wastes'!$I$13:$I$45</c:f>
              <c:strCache/>
            </c:strRef>
          </c:cat>
          <c:val>
            <c:numRef>
              <c:f>'Metal Wastes'!$J$13:$J$45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axId val="62930300"/>
        <c:axId val="29501789"/>
      </c:barChart>
      <c:catAx>
        <c:axId val="62930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Package Type</a:t>
                </a:r>
              </a:p>
            </c:rich>
          </c:tx>
          <c:layout>
            <c:manualLayout>
              <c:xMode val="factor"/>
              <c:yMode val="factor"/>
              <c:x val="-0.13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01789"/>
        <c:crosses val="autoZero"/>
        <c:auto val="1"/>
        <c:lblOffset val="100"/>
        <c:tickLblSkip val="2"/>
        <c:noMultiLvlLbl val="0"/>
      </c:catAx>
      <c:valAx>
        <c:axId val="29501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Eco Indicator 99 (2000) (Pt)</a:t>
                </a:r>
              </a:p>
            </c:rich>
          </c:tx>
          <c:layout>
            <c:manualLayout>
              <c:xMode val="factor"/>
              <c:yMode val="factor"/>
              <c:x val="-0.0412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29303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load, individual LLW packages (steel only, 2010 UKRWI)</a:t>
            </a:r>
          </a:p>
        </c:rich>
      </c:tx>
      <c:layout>
        <c:manualLayout>
          <c:xMode val="factor"/>
          <c:yMode val="factor"/>
          <c:x val="0.04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334"/>
          <c:w val="0.929"/>
          <c:h val="0.58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'Metal Wastes'!$I$48:$I$54</c:f>
              <c:strCache/>
            </c:strRef>
          </c:cat>
          <c:val>
            <c:numRef>
              <c:f>'Metal Wastes'!$J$48:$J$54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4189510"/>
        <c:axId val="40834679"/>
      </c:barChart>
      <c:catAx>
        <c:axId val="64189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Package Type</a:t>
                </a:r>
              </a:p>
            </c:rich>
          </c:tx>
          <c:layout>
            <c:manualLayout>
              <c:xMode val="factor"/>
              <c:yMode val="factor"/>
              <c:x val="-0.06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0834679"/>
        <c:crosses val="autoZero"/>
        <c:auto val="1"/>
        <c:lblOffset val="100"/>
        <c:tickLblSkip val="1"/>
        <c:noMultiLvlLbl val="0"/>
      </c:catAx>
      <c:valAx>
        <c:axId val="40834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Eco Indicator 99 (2000) (Pt)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41895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load, individual VLLW packages (steel only, 2010 UKRWI)</a:t>
            </a:r>
          </a:p>
        </c:rich>
      </c:tx>
      <c:layout>
        <c:manualLayout>
          <c:xMode val="factor"/>
          <c:yMode val="factor"/>
          <c:x val="0.05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3355"/>
          <c:w val="0.92925"/>
          <c:h val="0.5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'Metal Wastes'!$I$57:$I$59</c:f>
              <c:strCache/>
            </c:strRef>
          </c:cat>
          <c:val>
            <c:numRef>
              <c:f>'Metal Wastes'!$J$57:$J$59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1967792"/>
        <c:axId val="19274673"/>
      </c:barChart>
      <c:catAx>
        <c:axId val="31967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Package Type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9274673"/>
        <c:crosses val="autoZero"/>
        <c:auto val="1"/>
        <c:lblOffset val="100"/>
        <c:tickLblSkip val="1"/>
        <c:noMultiLvlLbl val="0"/>
      </c:catAx>
      <c:valAx>
        <c:axId val="19274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Eco Indicator 99 (2000) (Pt)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19677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Berkeley Gas Ducts (excluding boilers) Activity Decay</a:t>
            </a:r>
          </a:p>
        </c:rich>
      </c:tx>
      <c:layout>
        <c:manualLayout>
          <c:xMode val="factor"/>
          <c:yMode val="factor"/>
          <c:x val="-0.030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222"/>
          <c:w val="0.83675"/>
          <c:h val="0.70225"/>
        </c:manualLayout>
      </c:layout>
      <c:lineChart>
        <c:grouping val="standard"/>
        <c:varyColors val="0"/>
        <c:ser>
          <c:idx val="0"/>
          <c:order val="0"/>
          <c:tx>
            <c:strRef>
              <c:f>Radioactivity!$A$88</c:f>
              <c:strCache>
                <c:ptCount val="1"/>
                <c:pt idx="0">
                  <c:v>H3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Radioactivity!$B$87:$D$87</c:f>
              <c:strCache/>
            </c:strRef>
          </c:cat>
          <c:val>
            <c:numRef>
              <c:f>Radioactivity!$B$88:$D$88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Radioactivity!$A$89</c:f>
              <c:strCache>
                <c:ptCount val="1"/>
                <c:pt idx="0">
                  <c:v>C14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Radioactivity!$B$87:$D$87</c:f>
              <c:strCache/>
            </c:strRef>
          </c:cat>
          <c:val>
            <c:numRef>
              <c:f>Radioactivity!$B$89:$D$89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Radioactivity!$A$90</c:f>
              <c:strCache>
                <c:ptCount val="1"/>
                <c:pt idx="0">
                  <c:v>Cl36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Radioactivity!$B$87:$D$87</c:f>
              <c:strCache/>
            </c:strRef>
          </c:cat>
          <c:val>
            <c:numRef>
              <c:f>Radioactivity!$B$90:$D$90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Radioactivity!$A$91</c:f>
              <c:strCache>
                <c:ptCount val="1"/>
                <c:pt idx="0">
                  <c:v>Ca41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Radioactivity!$B$87:$D$87</c:f>
              <c:strCache/>
            </c:strRef>
          </c:cat>
          <c:val>
            <c:numRef>
              <c:f>Radioactivity!$B$91:$D$91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Radioactivity!$A$92</c:f>
              <c:strCache>
                <c:ptCount val="1"/>
                <c:pt idx="0">
                  <c:v>Mn54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Radioactivity!$B$87:$D$87</c:f>
              <c:strCache/>
            </c:strRef>
          </c:cat>
          <c:val>
            <c:numRef>
              <c:f>Radioactivity!$B$92:$D$92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Radioactivity!$A$93</c:f>
              <c:strCache>
                <c:ptCount val="1"/>
                <c:pt idx="0">
                  <c:v>Fe55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Radioactivity!$B$87:$D$87</c:f>
              <c:strCache/>
            </c:strRef>
          </c:cat>
          <c:val>
            <c:numRef>
              <c:f>Radioactivity!$B$93:$D$93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Radioactivity!$A$94</c:f>
              <c:strCache>
                <c:ptCount val="1"/>
                <c:pt idx="0">
                  <c:v>Co60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Radioactivity!$B$87:$D$87</c:f>
              <c:strCache/>
            </c:strRef>
          </c:cat>
          <c:val>
            <c:numRef>
              <c:f>Radioactivity!$B$94:$D$94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Radioactivity!$A$95</c:f>
              <c:strCache>
                <c:ptCount val="1"/>
                <c:pt idx="0">
                  <c:v>Ni59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Radioactivity!$B$87:$D$87</c:f>
              <c:strCache/>
            </c:strRef>
          </c:cat>
          <c:val>
            <c:numRef>
              <c:f>Radioactivity!$B$95:$D$95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Radioactivity!$A$96</c:f>
              <c:strCache>
                <c:ptCount val="1"/>
                <c:pt idx="0">
                  <c:v>Ni63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Radioactivity!$B$87:$D$87</c:f>
              <c:strCache/>
            </c:strRef>
          </c:cat>
          <c:val>
            <c:numRef>
              <c:f>Radioactivity!$B$96:$D$96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Radioactivity!$A$97</c:f>
              <c:strCache>
                <c:ptCount val="1"/>
                <c:pt idx="0">
                  <c:v>Nb94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Radioactivity!$B$87:$D$87</c:f>
              <c:strCache/>
            </c:strRef>
          </c:cat>
          <c:val>
            <c:numRef>
              <c:f>Radioactivity!$B$97:$D$97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Radioactivity!$A$98</c:f>
              <c:strCache>
                <c:ptCount val="1"/>
                <c:pt idx="0">
                  <c:v>Cs134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Radioactivity!$B$87:$D$87</c:f>
              <c:strCache/>
            </c:strRef>
          </c:cat>
          <c:val>
            <c:numRef>
              <c:f>Radioactivity!$B$98:$D$98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Radioactivity!$A$99</c:f>
              <c:strCache>
                <c:ptCount val="1"/>
                <c:pt idx="0">
                  <c:v>Cs137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Radioactivity!$B$87:$D$87</c:f>
              <c:strCache/>
            </c:strRef>
          </c:cat>
          <c:val>
            <c:numRef>
              <c:f>Radioactivity!$B$99:$D$99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Radioactivity!$A$100</c:f>
              <c:strCache>
                <c:ptCount val="1"/>
                <c:pt idx="0">
                  <c:v>Eu152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Radioactivity!$B$87:$D$87</c:f>
              <c:strCache/>
            </c:strRef>
          </c:cat>
          <c:val>
            <c:numRef>
              <c:f>Radioactivity!$B$100:$D$100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Radioactivity!$A$101</c:f>
              <c:strCache>
                <c:ptCount val="1"/>
                <c:pt idx="0">
                  <c:v>Eu154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Radioactivity!$B$87:$D$87</c:f>
              <c:strCache/>
            </c:strRef>
          </c:cat>
          <c:val>
            <c:numRef>
              <c:f>Radioactivity!$B$101:$D$101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Radioactivity!$A$102</c:f>
              <c:strCache>
                <c:ptCount val="1"/>
                <c:pt idx="0">
                  <c:v>Eu155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Radioactivity!$B$87:$D$87</c:f>
              <c:strCache/>
            </c:strRef>
          </c:cat>
          <c:val>
            <c:numRef>
              <c:f>Radioactivity!$B$102:$D$102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Radioactivity!$A$103</c:f>
              <c:strCache>
                <c:ptCount val="1"/>
                <c:pt idx="0">
                  <c:v>Ho166m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strRef>
              <c:f>Radioactivity!$B$87:$D$87</c:f>
              <c:strCache/>
            </c:strRef>
          </c:cat>
          <c:val>
            <c:numRef>
              <c:f>Radioactivity!$B$103:$D$103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Radioactivity!$A$104</c:f>
              <c:strCache>
                <c:ptCount val="1"/>
                <c:pt idx="0">
                  <c:v>Am241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Radioactivity!$B$87:$D$87</c:f>
              <c:strCache/>
            </c:strRef>
          </c:cat>
          <c:val>
            <c:numRef>
              <c:f>Radioactivity!$B$104:$D$104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Radioactivity!$A$105</c:f>
              <c:strCache>
                <c:ptCount val="1"/>
                <c:pt idx="0">
                  <c:v>De minimus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Radioactivity!$B$87:$D$87</c:f>
              <c:strCache/>
            </c:strRef>
          </c:cat>
          <c:val>
            <c:numRef>
              <c:f>Radioactivity!$B$105:$D$105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Radioactivity!$A$106</c:f>
              <c:strCache>
                <c:ptCount val="1"/>
                <c:pt idx="0">
                  <c:v>De minimus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Radioactivity!$B$87:$D$87</c:f>
              <c:strCache/>
            </c:strRef>
          </c:cat>
          <c:val>
            <c:numRef>
              <c:f>Radioactivity!$B$106:$D$106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Radioactivity!$A$107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Radioactivity!$B$87:$D$87</c:f>
              <c:strCache/>
            </c:strRef>
          </c:cat>
          <c:val>
            <c:numRef>
              <c:f>Radioactivity!$B$107:$D$107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9254330"/>
        <c:axId val="17744651"/>
      </c:lineChart>
      <c:catAx>
        <c:axId val="39254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 After Shutdown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44651"/>
        <c:crosses val="autoZero"/>
        <c:auto val="1"/>
        <c:lblOffset val="100"/>
        <c:tickLblSkip val="1"/>
        <c:noMultiLvlLbl val="0"/>
      </c:catAx>
      <c:valAx>
        <c:axId val="17744651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Activity (Bq)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54330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25"/>
          <c:y val="0.235"/>
          <c:w val="0.10575"/>
          <c:h val="0.76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Berkeley Boiler Nuclide Decay Activity</a:t>
            </a:r>
          </a:p>
        </c:rich>
      </c:tx>
      <c:layout>
        <c:manualLayout>
          <c:xMode val="factor"/>
          <c:yMode val="factor"/>
          <c:x val="-0.027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248"/>
          <c:w val="0.82925"/>
          <c:h val="0.659"/>
        </c:manualLayout>
      </c:layout>
      <c:lineChart>
        <c:grouping val="standard"/>
        <c:varyColors val="0"/>
        <c:ser>
          <c:idx val="0"/>
          <c:order val="0"/>
          <c:tx>
            <c:strRef>
              <c:f>Radioactivity!$A$64</c:f>
              <c:strCache>
                <c:ptCount val="1"/>
                <c:pt idx="0">
                  <c:v>H3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Radioactivity!$B$63:$G$63</c:f>
              <c:strCache/>
            </c:strRef>
          </c:cat>
          <c:val>
            <c:numRef>
              <c:f>Radioactivity!$B$64:$G$64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Radioactivity!$A$65</c:f>
              <c:strCache>
                <c:ptCount val="1"/>
                <c:pt idx="0">
                  <c:v>C14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Radioactivity!$B$63:$G$63</c:f>
              <c:strCache/>
            </c:strRef>
          </c:cat>
          <c:val>
            <c:numRef>
              <c:f>Radioactivity!$B$65:$G$65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Radioactivity!$A$66</c:f>
              <c:strCache>
                <c:ptCount val="1"/>
                <c:pt idx="0">
                  <c:v>Cl36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Radioactivity!$B$63:$G$63</c:f>
              <c:strCache/>
            </c:strRef>
          </c:cat>
          <c:val>
            <c:numRef>
              <c:f>Radioactivity!$B$66:$G$66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Radioactivity!$A$67</c:f>
              <c:strCache>
                <c:ptCount val="1"/>
                <c:pt idx="0">
                  <c:v>Ca41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Radioactivity!$B$63:$G$63</c:f>
              <c:strCache/>
            </c:strRef>
          </c:cat>
          <c:val>
            <c:numRef>
              <c:f>Radioactivity!$B$67:$G$67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Radioactivity!$A$68</c:f>
              <c:strCache>
                <c:ptCount val="1"/>
                <c:pt idx="0">
                  <c:v>Mn54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Radioactivity!$B$63:$G$63</c:f>
              <c:strCache/>
            </c:strRef>
          </c:cat>
          <c:val>
            <c:numRef>
              <c:f>Radioactivity!$B$68:$G$68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Radioactivity!$A$69</c:f>
              <c:strCache>
                <c:ptCount val="1"/>
                <c:pt idx="0">
                  <c:v>Fe55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Radioactivity!$B$63:$G$63</c:f>
              <c:strCache/>
            </c:strRef>
          </c:cat>
          <c:val>
            <c:numRef>
              <c:f>Radioactivity!$B$69:$G$69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Radioactivity!$A$70</c:f>
              <c:strCache>
                <c:ptCount val="1"/>
                <c:pt idx="0">
                  <c:v>Co60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Radioactivity!$B$63:$G$63</c:f>
              <c:strCache/>
            </c:strRef>
          </c:cat>
          <c:val>
            <c:numRef>
              <c:f>Radioactivity!$B$70:$G$70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Radioactivity!$A$71</c:f>
              <c:strCache>
                <c:ptCount val="1"/>
                <c:pt idx="0">
                  <c:v>Ni59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Radioactivity!$B$63:$G$63</c:f>
              <c:strCache/>
            </c:strRef>
          </c:cat>
          <c:val>
            <c:numRef>
              <c:f>Radioactivity!$B$71:$G$71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Radioactivity!$A$72</c:f>
              <c:strCache>
                <c:ptCount val="1"/>
                <c:pt idx="0">
                  <c:v>Ni63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Radioactivity!$B$63:$G$63</c:f>
              <c:strCache/>
            </c:strRef>
          </c:cat>
          <c:val>
            <c:numRef>
              <c:f>Radioactivity!$B$72:$G$72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Radioactivity!$A$73</c:f>
              <c:strCache>
                <c:ptCount val="1"/>
                <c:pt idx="0">
                  <c:v>Nb94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Radioactivity!$B$63:$G$63</c:f>
              <c:strCache/>
            </c:strRef>
          </c:cat>
          <c:val>
            <c:numRef>
              <c:f>Radioactivity!$B$73:$G$73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Radioactivity!$A$74</c:f>
              <c:strCache>
                <c:ptCount val="1"/>
                <c:pt idx="0">
                  <c:v>Cs134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Radioactivity!$B$63:$G$63</c:f>
              <c:strCache/>
            </c:strRef>
          </c:cat>
          <c:val>
            <c:numRef>
              <c:f>Radioactivity!$B$74:$G$74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Radioactivity!$A$75</c:f>
              <c:strCache>
                <c:ptCount val="1"/>
                <c:pt idx="0">
                  <c:v>Cs137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Radioactivity!$B$63:$G$63</c:f>
              <c:strCache/>
            </c:strRef>
          </c:cat>
          <c:val>
            <c:numRef>
              <c:f>Radioactivity!$B$75:$G$75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Radioactivity!$A$76</c:f>
              <c:strCache>
                <c:ptCount val="1"/>
                <c:pt idx="0">
                  <c:v>Eu152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Radioactivity!$B$63:$G$63</c:f>
              <c:strCache/>
            </c:strRef>
          </c:cat>
          <c:val>
            <c:numRef>
              <c:f>Radioactivity!$B$76:$G$76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Radioactivity!$A$77</c:f>
              <c:strCache>
                <c:ptCount val="1"/>
                <c:pt idx="0">
                  <c:v>Eu154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Radioactivity!$B$63:$G$63</c:f>
              <c:strCache/>
            </c:strRef>
          </c:cat>
          <c:val>
            <c:numRef>
              <c:f>Radioactivity!$B$77:$G$77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Radioactivity!$A$78</c:f>
              <c:strCache>
                <c:ptCount val="1"/>
                <c:pt idx="0">
                  <c:v>Eu155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Radioactivity!$B$63:$G$63</c:f>
              <c:strCache/>
            </c:strRef>
          </c:cat>
          <c:val>
            <c:numRef>
              <c:f>Radioactivity!$B$78:$G$78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Radioactivity!$A$79</c:f>
              <c:strCache>
                <c:ptCount val="1"/>
                <c:pt idx="0">
                  <c:v>Ho166m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strRef>
              <c:f>Radioactivity!$B$63:$G$63</c:f>
              <c:strCache/>
            </c:strRef>
          </c:cat>
          <c:val>
            <c:numRef>
              <c:f>Radioactivity!$B$79:$G$79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Radioactivity!$A$80</c:f>
              <c:strCache>
                <c:ptCount val="1"/>
                <c:pt idx="0">
                  <c:v>Am241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Radioactivity!$B$63:$G$63</c:f>
              <c:strCache/>
            </c:strRef>
          </c:cat>
          <c:val>
            <c:numRef>
              <c:f>Radioactivity!$B$80:$G$80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Radioactivity!$A$81</c:f>
              <c:strCache>
                <c:ptCount val="1"/>
                <c:pt idx="0">
                  <c:v>De minimus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Radioactivity!$B$63:$G$63</c:f>
              <c:strCache/>
            </c:strRef>
          </c:cat>
          <c:val>
            <c:numRef>
              <c:f>Radioactivity!$B$81:$G$81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Radioactivity!$A$82</c:f>
              <c:strCache>
                <c:ptCount val="1"/>
                <c:pt idx="0">
                  <c:v>De minimus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Radioactivity!$B$63:$G$63</c:f>
              <c:strCache/>
            </c:strRef>
          </c:cat>
          <c:val>
            <c:numRef>
              <c:f>Radioactivity!$B$82:$G$82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Radioactivity!$A$83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Radioactivity!$B$63:$G$63</c:f>
              <c:strCache/>
            </c:strRef>
          </c:cat>
          <c:val>
            <c:numRef>
              <c:f>Radioactivity!$B$83:$G$83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5484132"/>
        <c:axId val="28030597"/>
      </c:lineChart>
      <c:catAx>
        <c:axId val="25484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 After Shur Down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30597"/>
        <c:crosses val="autoZero"/>
        <c:auto val="1"/>
        <c:lblOffset val="100"/>
        <c:tickLblSkip val="1"/>
        <c:noMultiLvlLbl val="0"/>
      </c:catAx>
      <c:valAx>
        <c:axId val="2803059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Activity (Bq)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84132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75"/>
          <c:y val="0.27925"/>
          <c:w val="0.1075"/>
          <c:h val="0.715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WAGR Boiler Packaged Disposal Transport (t.km)</a:t>
            </a:r>
          </a:p>
        </c:rich>
      </c:tx>
      <c:layout>
        <c:manualLayout>
          <c:xMode val="factor"/>
          <c:yMode val="factor"/>
          <c:x val="0.014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32175"/>
          <c:w val="0.8985"/>
          <c:h val="0.5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'Early SimaPro Results'!$B$7</c:f>
              <c:strCache>
                <c:ptCount val="1"/>
                <c:pt idx="0">
                  <c:v>Total tkm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Results'!$A$8:$A$11</c:f>
              <c:strCache/>
            </c:strRef>
          </c:cat>
          <c:val>
            <c:numRef>
              <c:f>'Early SimaPro Results'!$B$8:$B$11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0948782"/>
        <c:axId val="55885855"/>
      </c:barChart>
      <c:catAx>
        <c:axId val="50948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HHISO</a:t>
                </a:r>
              </a:p>
            </c:rich>
          </c:tx>
          <c:layout>
            <c:manualLayout>
              <c:xMode val="factor"/>
              <c:yMode val="factor"/>
              <c:x val="-0.08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5885855"/>
        <c:crosses val="autoZero"/>
        <c:auto val="1"/>
        <c:lblOffset val="100"/>
        <c:tickLblSkip val="1"/>
        <c:noMultiLvlLbl val="0"/>
      </c:catAx>
      <c:valAx>
        <c:axId val="55885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tkm</a:t>
                </a:r>
              </a:p>
            </c:rich>
          </c:tx>
          <c:layout>
            <c:manualLayout>
              <c:xMode val="factor"/>
              <c:yMode val="factor"/>
              <c:x val="-0.036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0948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 WAGR Boiler Packaged Disposal Transport (Eco Load)</a:t>
            </a:r>
          </a:p>
        </c:rich>
      </c:tx>
      <c:layout>
        <c:manualLayout>
          <c:xMode val="factor"/>
          <c:yMode val="factor"/>
          <c:x val="0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3615"/>
          <c:w val="0.901"/>
          <c:h val="0.5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'Early SimaPro Results'!$B$17</c:f>
              <c:strCache>
                <c:ptCount val="1"/>
                <c:pt idx="0">
                  <c:v>Total tkm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Results'!$A$18:$A$21</c:f>
              <c:strCache/>
            </c:strRef>
          </c:cat>
          <c:val>
            <c:numRef>
              <c:f>'Early SimaPro Results'!$B$18:$B$21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3210648"/>
        <c:axId val="30460377"/>
      </c:barChart>
      <c:catAx>
        <c:axId val="33210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HHISO</a:t>
                </a:r>
              </a:p>
            </c:rich>
          </c:tx>
          <c:layout>
            <c:manualLayout>
              <c:xMode val="factor"/>
              <c:yMode val="factor"/>
              <c:x val="-0.06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0460377"/>
        <c:crosses val="autoZero"/>
        <c:auto val="1"/>
        <c:lblOffset val="100"/>
        <c:tickLblSkip val="1"/>
        <c:noMultiLvlLbl val="0"/>
      </c:catAx>
      <c:valAx>
        <c:axId val="30460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Eco Indicator Pt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32106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Total Environmental Impact  for WAGR Boilers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(Excluding Avoided Metal Benefit of Recycling)</a:t>
            </a:r>
          </a:p>
        </c:rich>
      </c:tx>
      <c:layout>
        <c:manualLayout>
          <c:xMode val="factor"/>
          <c:yMode val="factor"/>
          <c:x val="-0.0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37375"/>
          <c:w val="0.83025"/>
          <c:h val="0.521"/>
        </c:manualLayout>
      </c:layout>
      <c:lineChart>
        <c:grouping val="standard"/>
        <c:varyColors val="0"/>
        <c:ser>
          <c:idx val="0"/>
          <c:order val="0"/>
          <c:tx>
            <c:strRef>
              <c:f>'Early SimaPro Results'!$B$24</c:f>
              <c:strCache>
                <c:ptCount val="1"/>
                <c:pt idx="0">
                  <c:v>H/A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'Early SimaPro Results'!$A$25:$A$28</c:f>
              <c:strCache/>
            </c:strRef>
          </c:cat>
          <c:val>
            <c:numRef>
              <c:f>'Early SimaPro Results'!$B$25:$B$28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'Early SimaPro Results'!$C$24</c:f>
              <c:strCache>
                <c:ptCount val="1"/>
                <c:pt idx="0">
                  <c:v>H/H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'Early SimaPro Results'!$A$25:$A$28</c:f>
              <c:strCache/>
            </c:strRef>
          </c:cat>
          <c:val>
            <c:numRef>
              <c:f>'Early SimaPro Results'!$C$25:$C$28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'Early SimaPro Results'!$D$24</c:f>
              <c:strCache>
                <c:ptCount val="1"/>
                <c:pt idx="0">
                  <c:v>E/A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'Early SimaPro Results'!$A$25:$A$28</c:f>
              <c:strCache/>
            </c:strRef>
          </c:cat>
          <c:val>
            <c:numRef>
              <c:f>'Early SimaPro Results'!$D$25:$D$28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'Early SimaPro Results'!$E$24</c:f>
              <c:strCache>
                <c:ptCount val="1"/>
                <c:pt idx="0">
                  <c:v>E/E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'Early SimaPro Results'!$A$25:$A$28</c:f>
              <c:strCache/>
            </c:strRef>
          </c:cat>
          <c:val>
            <c:numRef>
              <c:f>'Early SimaPro Results'!$E$25:$E$28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'Early SimaPro Results'!$F$24</c:f>
              <c:strCache>
                <c:ptCount val="1"/>
                <c:pt idx="0">
                  <c:v>I/A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'Early SimaPro Results'!$A$25:$A$28</c:f>
              <c:strCache/>
            </c:strRef>
          </c:cat>
          <c:val>
            <c:numRef>
              <c:f>'Early SimaPro Results'!$F$25:$F$28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'Early SimaPro Results'!$G$24</c:f>
              <c:strCache>
                <c:ptCount val="1"/>
                <c:pt idx="0">
                  <c:v>I/I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'Early SimaPro Results'!$A$25:$A$28</c:f>
              <c:strCache/>
            </c:strRef>
          </c:cat>
          <c:val>
            <c:numRef>
              <c:f>'Early SimaPro Results'!$G$25:$G$28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5707938"/>
        <c:axId val="51371443"/>
      </c:lineChart>
      <c:catAx>
        <c:axId val="5707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Disposition Option</a:t>
                </a:r>
              </a:p>
            </c:rich>
          </c:tx>
          <c:layout>
            <c:manualLayout>
              <c:xMode val="factor"/>
              <c:yMode val="factor"/>
              <c:x val="-0.039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1371443"/>
        <c:crosses val="autoZero"/>
        <c:auto val="1"/>
        <c:lblOffset val="100"/>
        <c:tickLblSkip val="1"/>
        <c:noMultiLvlLbl val="0"/>
      </c:catAx>
      <c:valAx>
        <c:axId val="513714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Eco Indicator Score (Pt)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707938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90125"/>
          <c:y val="0.44325"/>
          <c:w val="0.09225"/>
          <c:h val="0.376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Load for Disposal of all Boilers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36375"/>
          <c:w val="0.902"/>
          <c:h val="0.5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'Boiler Disposal&amp;Recycling'!$L$46</c:f>
              <c:strCache>
                <c:ptCount val="1"/>
                <c:pt idx="0">
                  <c:v>Eco Indicator (KPt) for disposal of all boilers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'Boiler Disposal&amp;Recycling'!$K$47:$K$51</c:f>
              <c:strCache/>
            </c:strRef>
          </c:cat>
          <c:val>
            <c:numRef>
              <c:f>'Boiler Disposal&amp;Recycling'!$L$47:$L$51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4940222"/>
        <c:axId val="24699951"/>
      </c:barChart>
      <c:catAx>
        <c:axId val="5494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Waste Type</a:t>
                </a:r>
              </a:p>
            </c:rich>
          </c:tx>
          <c:layout>
            <c:manualLayout>
              <c:xMode val="factor"/>
              <c:yMode val="factor"/>
              <c:x val="-0.04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4699951"/>
        <c:crosses val="autoZero"/>
        <c:auto val="1"/>
        <c:lblOffset val="100"/>
        <c:tickLblSkip val="1"/>
        <c:noMultiLvlLbl val="0"/>
      </c:catAx>
      <c:valAx>
        <c:axId val="24699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Eco Indicator (KPt)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49402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Human Health Characterisation Results for Direct Disposal 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(For all Perspectives)</a:t>
            </a:r>
          </a:p>
        </c:rich>
      </c:tx>
      <c:layout>
        <c:manualLayout>
          <c:xMode val="factor"/>
          <c:yMode val="factor"/>
          <c:x val="-0.02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49175"/>
          <c:w val="0.82475"/>
          <c:h val="0.3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'Early SimaPro Results'!$B$42</c:f>
              <c:strCache>
                <c:ptCount val="1"/>
                <c:pt idx="0">
                  <c:v>H/A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Results'!$A$43:$A$48</c:f>
              <c:strCache/>
            </c:strRef>
          </c:cat>
          <c:val>
            <c:numRef>
              <c:f>'Early SimaPro Results'!$B$43:$B$48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'Early SimaPro Results'!$C$42</c:f>
              <c:strCache>
                <c:ptCount val="1"/>
                <c:pt idx="0">
                  <c:v>H/H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Results'!$A$43:$A$48</c:f>
              <c:strCache/>
            </c:strRef>
          </c:cat>
          <c:val>
            <c:numRef>
              <c:f>'Early SimaPro Results'!$C$43:$C$48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'Early SimaPro Results'!$D$42</c:f>
              <c:strCache>
                <c:ptCount val="1"/>
                <c:pt idx="0">
                  <c:v>E/A</c:v>
                </c:pt>
              </c:strCache>
            </c:strRef>
          </c:tx>
          <c:spPr>
            <a:solidFill>
              <a:srgbClr val="FF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Results'!$A$43:$A$48</c:f>
              <c:strCache/>
            </c:strRef>
          </c:cat>
          <c:val>
            <c:numRef>
              <c:f>'Early SimaPro Results'!$D$43:$D$48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'Early SimaPro Results'!$E$42</c:f>
              <c:strCache>
                <c:ptCount val="1"/>
                <c:pt idx="0">
                  <c:v>E/E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Results'!$A$43:$A$48</c:f>
              <c:strCache/>
            </c:strRef>
          </c:cat>
          <c:val>
            <c:numRef>
              <c:f>'Early SimaPro Results'!$E$43:$E$48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'Early SimaPro Results'!$F$42</c:f>
              <c:strCache>
                <c:ptCount val="1"/>
                <c:pt idx="0">
                  <c:v>I/A</c:v>
                </c:pt>
              </c:strCache>
            </c:strRef>
          </c:tx>
          <c:spPr>
            <a:solidFill>
              <a:srgbClr val="CC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Results'!$A$43:$A$48</c:f>
              <c:strCache/>
            </c:strRef>
          </c:cat>
          <c:val>
            <c:numRef>
              <c:f>'Early SimaPro Results'!$F$43:$F$48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'Early SimaPro Results'!$G$42</c:f>
              <c:strCache>
                <c:ptCount val="1"/>
                <c:pt idx="0">
                  <c:v>I/I</c:v>
                </c:pt>
              </c:strCache>
            </c:strRef>
          </c:tx>
          <c:spPr>
            <a:solidFill>
              <a:srgbClr val="FF8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Results'!$A$43:$A$48</c:f>
              <c:strCache/>
            </c:strRef>
          </c:cat>
          <c:val>
            <c:numRef>
              <c:f>'Early SimaPro Results'!$G$43:$G$48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9689804"/>
        <c:axId val="337325"/>
      </c:barChart>
      <c:catAx>
        <c:axId val="59689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Impact Category</a:t>
                </a:r>
              </a:p>
            </c:rich>
          </c:tx>
          <c:layout>
            <c:manualLayout>
              <c:xMode val="factor"/>
              <c:yMode val="factor"/>
              <c:x val="-0.089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37325"/>
        <c:crosses val="autoZero"/>
        <c:auto val="1"/>
        <c:lblOffset val="100"/>
        <c:tickLblSkip val="1"/>
        <c:noMultiLvlLbl val="0"/>
      </c:catAx>
      <c:valAx>
        <c:axId val="337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DALY</a:t>
                </a:r>
              </a:p>
            </c:rich>
          </c:tx>
          <c:layout>
            <c:manualLayout>
              <c:xMode val="factor"/>
              <c:yMode val="factor"/>
              <c:x val="-0.02"/>
              <c:y val="-0.0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96898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5"/>
          <c:y val="0.51075"/>
          <c:w val="0.076"/>
          <c:h val="0.489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Eco-System Quality Characterisation Results for Direct Disposal 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(For all Perspectives)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4995"/>
          <c:w val="0.827"/>
          <c:h val="0.3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'Early SimaPro Results'!$B$49</c:f>
              <c:strCache>
                <c:ptCount val="1"/>
                <c:pt idx="0">
                  <c:v>H/A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Results'!$A$50:$A$52</c:f>
              <c:strCache/>
            </c:strRef>
          </c:cat>
          <c:val>
            <c:numRef>
              <c:f>'Early SimaPro Results'!$B$50:$B$52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'Early SimaPro Results'!$C$49</c:f>
              <c:strCache>
                <c:ptCount val="1"/>
                <c:pt idx="0">
                  <c:v>H/H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Results'!$A$50:$A$52</c:f>
              <c:strCache/>
            </c:strRef>
          </c:cat>
          <c:val>
            <c:numRef>
              <c:f>'Early SimaPro Results'!$C$50:$C$52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'Early SimaPro Results'!$D$49</c:f>
              <c:strCache>
                <c:ptCount val="1"/>
                <c:pt idx="0">
                  <c:v>E/A</c:v>
                </c:pt>
              </c:strCache>
            </c:strRef>
          </c:tx>
          <c:spPr>
            <a:solidFill>
              <a:srgbClr val="FF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Results'!$A$50:$A$52</c:f>
              <c:strCache/>
            </c:strRef>
          </c:cat>
          <c:val>
            <c:numRef>
              <c:f>'Early SimaPro Results'!$D$50:$D$52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'Early SimaPro Results'!$E$49</c:f>
              <c:strCache>
                <c:ptCount val="1"/>
                <c:pt idx="0">
                  <c:v>E/E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Results'!$A$50:$A$52</c:f>
              <c:strCache/>
            </c:strRef>
          </c:cat>
          <c:val>
            <c:numRef>
              <c:f>'Early SimaPro Results'!$E$50:$E$52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'Early SimaPro Results'!$F$49</c:f>
              <c:strCache>
                <c:ptCount val="1"/>
                <c:pt idx="0">
                  <c:v>I/A</c:v>
                </c:pt>
              </c:strCache>
            </c:strRef>
          </c:tx>
          <c:spPr>
            <a:solidFill>
              <a:srgbClr val="CC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Results'!$A$50:$A$52</c:f>
              <c:strCache/>
            </c:strRef>
          </c:cat>
          <c:val>
            <c:numRef>
              <c:f>'Early SimaPro Results'!$F$50:$F$52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'Early SimaPro Results'!$G$49</c:f>
              <c:strCache>
                <c:ptCount val="1"/>
                <c:pt idx="0">
                  <c:v>I/I</c:v>
                </c:pt>
              </c:strCache>
            </c:strRef>
          </c:tx>
          <c:spPr>
            <a:solidFill>
              <a:srgbClr val="FF8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Results'!$A$50:$A$52</c:f>
              <c:strCache/>
            </c:strRef>
          </c:cat>
          <c:val>
            <c:numRef>
              <c:f>'Early SimaPro Results'!$G$50:$G$52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035926"/>
        <c:axId val="27323335"/>
      </c:barChart>
      <c:catAx>
        <c:axId val="3035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Impact Category</a:t>
                </a:r>
              </a:p>
            </c:rich>
          </c:tx>
          <c:layout>
            <c:manualLayout>
              <c:xMode val="factor"/>
              <c:yMode val="factor"/>
              <c:x val="-0.086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7323335"/>
        <c:crosses val="autoZero"/>
        <c:auto val="1"/>
        <c:lblOffset val="100"/>
        <c:tickLblSkip val="1"/>
        <c:noMultiLvlLbl val="0"/>
      </c:catAx>
      <c:valAx>
        <c:axId val="2732333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PDFm2yr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0359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75"/>
          <c:y val="0.49125"/>
          <c:w val="0.07475"/>
          <c:h val="0.508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Resources Characterisation Results for Direct Disposal 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(For all Perspectives)</a:t>
            </a:r>
          </a:p>
        </c:rich>
      </c:tx>
      <c:layout>
        <c:manualLayout>
          <c:xMode val="factor"/>
          <c:yMode val="factor"/>
          <c:x val="-0.071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432"/>
          <c:w val="0.83"/>
          <c:h val="0.4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'Early SimaPro Results'!$B$53</c:f>
              <c:strCache>
                <c:ptCount val="1"/>
                <c:pt idx="0">
                  <c:v>H/A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Results'!$A$54:$A$55</c:f>
              <c:strCache/>
            </c:strRef>
          </c:cat>
          <c:val>
            <c:numRef>
              <c:f>'Early SimaPro Results'!$B$54:$B$55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'Early SimaPro Results'!$C$53</c:f>
              <c:strCache>
                <c:ptCount val="1"/>
                <c:pt idx="0">
                  <c:v>H/H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Results'!$A$54:$A$55</c:f>
              <c:strCache/>
            </c:strRef>
          </c:cat>
          <c:val>
            <c:numRef>
              <c:f>'Early SimaPro Results'!$C$54:$C$55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'Early SimaPro Results'!$D$53</c:f>
              <c:strCache>
                <c:ptCount val="1"/>
                <c:pt idx="0">
                  <c:v>E/A</c:v>
                </c:pt>
              </c:strCache>
            </c:strRef>
          </c:tx>
          <c:spPr>
            <a:solidFill>
              <a:srgbClr val="FF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Results'!$A$54:$A$55</c:f>
              <c:strCache/>
            </c:strRef>
          </c:cat>
          <c:val>
            <c:numRef>
              <c:f>'Early SimaPro Results'!$D$54:$D$55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'Early SimaPro Results'!$E$53</c:f>
              <c:strCache>
                <c:ptCount val="1"/>
                <c:pt idx="0">
                  <c:v>E/E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Results'!$A$54:$A$55</c:f>
              <c:strCache/>
            </c:strRef>
          </c:cat>
          <c:val>
            <c:numRef>
              <c:f>'Early SimaPro Results'!$E$54:$E$55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'Early SimaPro Results'!$F$53</c:f>
              <c:strCache>
                <c:ptCount val="1"/>
                <c:pt idx="0">
                  <c:v>I/A</c:v>
                </c:pt>
              </c:strCache>
            </c:strRef>
          </c:tx>
          <c:spPr>
            <a:solidFill>
              <a:srgbClr val="CC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Results'!$A$54:$A$55</c:f>
              <c:strCache/>
            </c:strRef>
          </c:cat>
          <c:val>
            <c:numRef>
              <c:f>'Early SimaPro Results'!$F$54:$F$55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'Early SimaPro Results'!$G$53</c:f>
              <c:strCache>
                <c:ptCount val="1"/>
                <c:pt idx="0">
                  <c:v>I/I</c:v>
                </c:pt>
              </c:strCache>
            </c:strRef>
          </c:tx>
          <c:spPr>
            <a:solidFill>
              <a:srgbClr val="FF8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Results'!$A$54:$A$55</c:f>
              <c:strCache/>
            </c:strRef>
          </c:cat>
          <c:val>
            <c:numRef>
              <c:f>'Early SimaPro Results'!$G$54:$G$55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4583424"/>
        <c:axId val="65706497"/>
      </c:barChart>
      <c:catAx>
        <c:axId val="44583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Impact Category</a:t>
                </a:r>
              </a:p>
            </c:rich>
          </c:tx>
          <c:layout>
            <c:manualLayout>
              <c:xMode val="factor"/>
              <c:yMode val="factor"/>
              <c:x val="-0.05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5706497"/>
        <c:crosses val="autoZero"/>
        <c:auto val="1"/>
        <c:lblOffset val="100"/>
        <c:tickLblSkip val="1"/>
        <c:noMultiLvlLbl val="0"/>
      </c:catAx>
      <c:valAx>
        <c:axId val="65706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MJ Surplus</a:t>
                </a:r>
              </a:p>
            </c:rich>
          </c:tx>
          <c:layout>
            <c:manualLayout>
              <c:xMode val="factor"/>
              <c:yMode val="factor"/>
              <c:x val="-0.03275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45834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25"/>
          <c:y val="0.42975"/>
          <c:w val="0.0735"/>
          <c:h val="0.453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the Eco-System Quality Damage Assessment Results for Direct Disposal (For all Perspectives)</a:t>
            </a:r>
          </a:p>
        </c:rich>
      </c:tx>
      <c:layout>
        <c:manualLayout>
          <c:xMode val="factor"/>
          <c:yMode val="factor"/>
          <c:x val="-0.026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40825"/>
          <c:w val="0.8295"/>
          <c:h val="0.4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'Early SimaPro Results'!$B$64</c:f>
              <c:strCache>
                <c:ptCount val="1"/>
                <c:pt idx="0">
                  <c:v>H/A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Results'!$A$65:$A$67</c:f>
              <c:strCache/>
            </c:strRef>
          </c:cat>
          <c:val>
            <c:numRef>
              <c:f>'Early SimaPro Results'!$B$65:$B$67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'Early SimaPro Results'!$C$64</c:f>
              <c:strCache>
                <c:ptCount val="1"/>
                <c:pt idx="0">
                  <c:v>H/H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Results'!$A$65:$A$67</c:f>
              <c:strCache/>
            </c:strRef>
          </c:cat>
          <c:val>
            <c:numRef>
              <c:f>'Early SimaPro Results'!$C$65:$C$67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'Early SimaPro Results'!$D$64</c:f>
              <c:strCache>
                <c:ptCount val="1"/>
                <c:pt idx="0">
                  <c:v>E/A</c:v>
                </c:pt>
              </c:strCache>
            </c:strRef>
          </c:tx>
          <c:spPr>
            <a:solidFill>
              <a:srgbClr val="FF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Results'!$A$65:$A$67</c:f>
              <c:strCache/>
            </c:strRef>
          </c:cat>
          <c:val>
            <c:numRef>
              <c:f>'Early SimaPro Results'!$D$65:$D$67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'Early SimaPro Results'!$E$64</c:f>
              <c:strCache>
                <c:ptCount val="1"/>
                <c:pt idx="0">
                  <c:v>E/E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Results'!$A$65:$A$67</c:f>
              <c:strCache/>
            </c:strRef>
          </c:cat>
          <c:val>
            <c:numRef>
              <c:f>'Early SimaPro Results'!$E$65:$E$67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'Early SimaPro Results'!$F$64</c:f>
              <c:strCache>
                <c:ptCount val="1"/>
                <c:pt idx="0">
                  <c:v>I/A</c:v>
                </c:pt>
              </c:strCache>
            </c:strRef>
          </c:tx>
          <c:spPr>
            <a:solidFill>
              <a:srgbClr val="CC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Results'!$A$65:$A$67</c:f>
              <c:strCache/>
            </c:strRef>
          </c:cat>
          <c:val>
            <c:numRef>
              <c:f>'Early SimaPro Results'!$F$65:$F$67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'Early SimaPro Results'!$G$64</c:f>
              <c:strCache>
                <c:ptCount val="1"/>
                <c:pt idx="0">
                  <c:v>I/I</c:v>
                </c:pt>
              </c:strCache>
            </c:strRef>
          </c:tx>
          <c:spPr>
            <a:solidFill>
              <a:srgbClr val="FF8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Results'!$A$65:$A$67</c:f>
              <c:strCache/>
            </c:strRef>
          </c:cat>
          <c:val>
            <c:numRef>
              <c:f>'Early SimaPro Results'!$G$65:$G$67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4487562"/>
        <c:axId val="20626011"/>
      </c:barChart>
      <c:catAx>
        <c:axId val="54487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Impact Category</a:t>
                </a:r>
              </a:p>
            </c:rich>
          </c:tx>
          <c:layout>
            <c:manualLayout>
              <c:xMode val="factor"/>
              <c:yMode val="factor"/>
              <c:x val="-0.06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0626011"/>
        <c:crosses val="autoZero"/>
        <c:auto val="1"/>
        <c:lblOffset val="100"/>
        <c:tickLblSkip val="1"/>
        <c:noMultiLvlLbl val="0"/>
      </c:catAx>
      <c:valAx>
        <c:axId val="2062601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PDFm2Yr</a:t>
                </a:r>
              </a:p>
            </c:rich>
          </c:tx>
          <c:layout>
            <c:manualLayout>
              <c:xMode val="factor"/>
              <c:yMode val="factor"/>
              <c:x val="-0.0327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44875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75"/>
          <c:y val="0.426"/>
          <c:w val="0.074"/>
          <c:h val="0.426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Normalised Impact Category Results for Direct Disposal 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(For all Perspectives)</a:t>
            </a:r>
          </a:p>
        </c:rich>
      </c:tx>
      <c:layout>
        <c:manualLayout>
          <c:xMode val="factor"/>
          <c:yMode val="factor"/>
          <c:x val="-0.037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36575"/>
          <c:w val="0.84275"/>
          <c:h val="0.5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'Early SimaPro Results'!$B$72</c:f>
              <c:strCache>
                <c:ptCount val="1"/>
                <c:pt idx="0">
                  <c:v>H/A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Results'!$A$73:$A$83</c:f>
              <c:strCache/>
            </c:strRef>
          </c:cat>
          <c:val>
            <c:numRef>
              <c:f>'Early SimaPro Results'!$B$73:$B$83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'Early SimaPro Results'!$C$72</c:f>
              <c:strCache>
                <c:ptCount val="1"/>
                <c:pt idx="0">
                  <c:v>H/H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Results'!$A$73:$A$83</c:f>
              <c:strCache/>
            </c:strRef>
          </c:cat>
          <c:val>
            <c:numRef>
              <c:f>'Early SimaPro Results'!$C$73:$C$83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'Early SimaPro Results'!$D$72</c:f>
              <c:strCache>
                <c:ptCount val="1"/>
                <c:pt idx="0">
                  <c:v>E/A</c:v>
                </c:pt>
              </c:strCache>
            </c:strRef>
          </c:tx>
          <c:spPr>
            <a:solidFill>
              <a:srgbClr val="FF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Results'!$A$73:$A$83</c:f>
              <c:strCache/>
            </c:strRef>
          </c:cat>
          <c:val>
            <c:numRef>
              <c:f>'Early SimaPro Results'!$D$73:$D$83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'Early SimaPro Results'!$E$72</c:f>
              <c:strCache>
                <c:ptCount val="1"/>
                <c:pt idx="0">
                  <c:v>E/E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Results'!$A$73:$A$83</c:f>
              <c:strCache/>
            </c:strRef>
          </c:cat>
          <c:val>
            <c:numRef>
              <c:f>'Early SimaPro Results'!$E$73:$E$83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'Early SimaPro Results'!$F$72</c:f>
              <c:strCache>
                <c:ptCount val="1"/>
                <c:pt idx="0">
                  <c:v>I/A</c:v>
                </c:pt>
              </c:strCache>
            </c:strRef>
          </c:tx>
          <c:spPr>
            <a:solidFill>
              <a:srgbClr val="CC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Results'!$A$73:$A$83</c:f>
              <c:strCache/>
            </c:strRef>
          </c:cat>
          <c:val>
            <c:numRef>
              <c:f>'Early SimaPro Results'!$F$73:$F$83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'Early SimaPro Results'!$G$72</c:f>
              <c:strCache>
                <c:ptCount val="1"/>
                <c:pt idx="0">
                  <c:v>I/I</c:v>
                </c:pt>
              </c:strCache>
            </c:strRef>
          </c:tx>
          <c:spPr>
            <a:solidFill>
              <a:srgbClr val="FF8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Results'!$A$73:$A$83</c:f>
              <c:strCache/>
            </c:strRef>
          </c:cat>
          <c:val>
            <c:numRef>
              <c:f>'Early SimaPro Results'!$G$73:$G$83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1416372"/>
        <c:axId val="60094165"/>
      </c:barChart>
      <c:catAx>
        <c:axId val="51416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Impact Category</a:t>
                </a:r>
              </a:p>
            </c:rich>
          </c:tx>
          <c:layout>
            <c:manualLayout>
              <c:xMode val="factor"/>
              <c:yMode val="factor"/>
              <c:x val="-0.115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4165"/>
        <c:crossesAt val="0.01"/>
        <c:auto val="1"/>
        <c:lblOffset val="100"/>
        <c:tickLblSkip val="1"/>
        <c:noMultiLvlLbl val="0"/>
      </c:catAx>
      <c:valAx>
        <c:axId val="60094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Normalised Value</a:t>
                </a:r>
              </a:p>
            </c:rich>
          </c:tx>
          <c:layout>
            <c:manualLayout>
              <c:xMode val="factor"/>
              <c:yMode val="factor"/>
              <c:x val="-0.026"/>
              <c:y val="-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14163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05"/>
          <c:y val="0.445"/>
          <c:w val="0.0725"/>
          <c:h val="0.365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the Weighted Impact Category Results for Direct Disposal (For all Perspectives)</a:t>
            </a:r>
          </a:p>
        </c:rich>
      </c:tx>
      <c:layout>
        <c:manualLayout>
          <c:xMode val="factor"/>
          <c:yMode val="factor"/>
          <c:x val="-0.002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99"/>
          <c:w val="0.85325"/>
          <c:h val="0.5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'Early SimaPro Results'!$B$85</c:f>
              <c:strCache>
                <c:ptCount val="1"/>
                <c:pt idx="0">
                  <c:v>H/A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Results'!$A$86:$A$96</c:f>
              <c:strCache/>
            </c:strRef>
          </c:cat>
          <c:val>
            <c:numRef>
              <c:f>'Early SimaPro Results'!$B$86:$B$96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'Early SimaPro Results'!$C$85</c:f>
              <c:strCache>
                <c:ptCount val="1"/>
                <c:pt idx="0">
                  <c:v>H/H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Results'!$A$86:$A$96</c:f>
              <c:strCache/>
            </c:strRef>
          </c:cat>
          <c:val>
            <c:numRef>
              <c:f>'Early SimaPro Results'!$C$86:$C$96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'Early SimaPro Results'!$D$85</c:f>
              <c:strCache>
                <c:ptCount val="1"/>
                <c:pt idx="0">
                  <c:v>E/A</c:v>
                </c:pt>
              </c:strCache>
            </c:strRef>
          </c:tx>
          <c:spPr>
            <a:solidFill>
              <a:srgbClr val="FF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Results'!$A$86:$A$96</c:f>
              <c:strCache/>
            </c:strRef>
          </c:cat>
          <c:val>
            <c:numRef>
              <c:f>'Early SimaPro Results'!$D$86:$D$96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'Early SimaPro Results'!$E$85</c:f>
              <c:strCache>
                <c:ptCount val="1"/>
                <c:pt idx="0">
                  <c:v>E/E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Results'!$A$86:$A$96</c:f>
              <c:strCache/>
            </c:strRef>
          </c:cat>
          <c:val>
            <c:numRef>
              <c:f>'Early SimaPro Results'!$E$86:$E$96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'Early SimaPro Results'!$F$85</c:f>
              <c:strCache>
                <c:ptCount val="1"/>
                <c:pt idx="0">
                  <c:v>I/A</c:v>
                </c:pt>
              </c:strCache>
            </c:strRef>
          </c:tx>
          <c:spPr>
            <a:solidFill>
              <a:srgbClr val="CC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Results'!$A$86:$A$96</c:f>
              <c:strCache/>
            </c:strRef>
          </c:cat>
          <c:val>
            <c:numRef>
              <c:f>'Early SimaPro Results'!$F$86:$F$96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'Early SimaPro Results'!$G$85</c:f>
              <c:strCache>
                <c:ptCount val="1"/>
                <c:pt idx="0">
                  <c:v>I/I</c:v>
                </c:pt>
              </c:strCache>
            </c:strRef>
          </c:tx>
          <c:spPr>
            <a:solidFill>
              <a:srgbClr val="FF8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Results'!$A$86:$A$96</c:f>
              <c:strCache/>
            </c:strRef>
          </c:cat>
          <c:val>
            <c:numRef>
              <c:f>'Early SimaPro Results'!$G$86:$G$96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976574"/>
        <c:axId val="35789167"/>
      </c:barChart>
      <c:catAx>
        <c:axId val="397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Impact Category</a:t>
                </a:r>
              </a:p>
            </c:rich>
          </c:tx>
          <c:layout>
            <c:manualLayout>
              <c:xMode val="factor"/>
              <c:yMode val="factor"/>
              <c:x val="-0.105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9167"/>
        <c:crossesAt val="1"/>
        <c:auto val="1"/>
        <c:lblOffset val="100"/>
        <c:tickLblSkip val="1"/>
        <c:noMultiLvlLbl val="0"/>
      </c:catAx>
      <c:valAx>
        <c:axId val="35789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Eco Indicator 99 Score (Pt)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03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9765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75"/>
          <c:y val="0.404"/>
          <c:w val="0.06425"/>
          <c:h val="0.387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Total Environmental Impact for WAGR Boilers 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(Excluding Avoided Metal Benefit of Recycling)</a:t>
            </a:r>
          </a:p>
        </c:rich>
      </c:tx>
      <c:layout>
        <c:manualLayout>
          <c:xMode val="factor"/>
          <c:yMode val="factor"/>
          <c:x val="-0.0505"/>
          <c:y val="-0.0055"/>
        </c:manualLayout>
      </c:layout>
      <c:spPr>
        <a:noFill/>
        <a:ln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8"/>
          <c:y val="0.415"/>
          <c:w val="0.88975"/>
          <c:h val="0.54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'Early SimaPro Results'!$B$24</c:f>
              <c:strCache>
                <c:ptCount val="1"/>
                <c:pt idx="0">
                  <c:v>H/A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Results'!$A$25:$A$28</c:f>
              <c:strCache/>
            </c:strRef>
          </c:cat>
          <c:val>
            <c:numRef>
              <c:f>'Early SimaPro Results'!$B$25:$B$28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'Early SimaPro Results'!$C$24</c:f>
              <c:strCache>
                <c:ptCount val="1"/>
                <c:pt idx="0">
                  <c:v>H/H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Results'!$A$25:$A$28</c:f>
              <c:strCache/>
            </c:strRef>
          </c:cat>
          <c:val>
            <c:numRef>
              <c:f>'Early SimaPro Results'!$C$25:$C$28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'Early SimaPro Results'!$D$24</c:f>
              <c:strCache>
                <c:ptCount val="1"/>
                <c:pt idx="0">
                  <c:v>E/A</c:v>
                </c:pt>
              </c:strCache>
            </c:strRef>
          </c:tx>
          <c:spPr>
            <a:solidFill>
              <a:srgbClr val="FF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Results'!$A$25:$A$28</c:f>
              <c:strCache/>
            </c:strRef>
          </c:cat>
          <c:val>
            <c:numRef>
              <c:f>'Early SimaPro Results'!$D$25:$D$28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'Early SimaPro Results'!$E$24</c:f>
              <c:strCache>
                <c:ptCount val="1"/>
                <c:pt idx="0">
                  <c:v>E/E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Results'!$A$25:$A$28</c:f>
              <c:strCache/>
            </c:strRef>
          </c:cat>
          <c:val>
            <c:numRef>
              <c:f>'Early SimaPro Results'!$E$25:$E$28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'Early SimaPro Results'!$F$24</c:f>
              <c:strCache>
                <c:ptCount val="1"/>
                <c:pt idx="0">
                  <c:v>I/A</c:v>
                </c:pt>
              </c:strCache>
            </c:strRef>
          </c:tx>
          <c:spPr>
            <a:solidFill>
              <a:srgbClr val="6600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Results'!$A$25:$A$28</c:f>
              <c:strCache/>
            </c:strRef>
          </c:cat>
          <c:val>
            <c:numRef>
              <c:f>'Early SimaPro Results'!$F$25:$F$28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'Early SimaPro Results'!$G$24</c:f>
              <c:strCache>
                <c:ptCount val="1"/>
                <c:pt idx="0">
                  <c:v>I/I</c:v>
                </c:pt>
              </c:strCache>
            </c:strRef>
          </c:tx>
          <c:spPr>
            <a:solidFill>
              <a:srgbClr val="FF8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Results'!$A$25:$A$28</c:f>
              <c:strCache/>
            </c:strRef>
          </c:cat>
          <c:val>
            <c:numRef>
              <c:f>'Early SimaPro Results'!$G$25:$G$28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53667048"/>
        <c:axId val="13241385"/>
      </c:bar3DChart>
      <c:catAx>
        <c:axId val="53667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Disposition Option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13241385"/>
        <c:crosses val="autoZero"/>
        <c:auto val="1"/>
        <c:lblOffset val="100"/>
        <c:tickLblSkip val="1"/>
        <c:noMultiLvlLbl val="0"/>
      </c:catAx>
      <c:valAx>
        <c:axId val="13241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Eco Indicator 99 Score (Pt)</a:t>
                </a:r>
              </a:p>
            </c:rich>
          </c:tx>
          <c:layout>
            <c:manualLayout>
              <c:xMode val="factor"/>
              <c:yMode val="factor"/>
              <c:x val="-0.17425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36670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"/>
          <c:y val="0.5645"/>
          <c:w val="0.06475"/>
          <c:h val="0.435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/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Total Environmental Impact for WAGR Boilers (Including Avoided Metal Benefits of Recycling)</a:t>
            </a:r>
          </a:p>
        </c:rich>
      </c:tx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9"/>
          <c:y val="0.36575"/>
          <c:w val="0.884"/>
          <c:h val="0.60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'Early SimaPro Results'!$B$31</c:f>
              <c:strCache>
                <c:ptCount val="1"/>
                <c:pt idx="0">
                  <c:v>H/A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Results'!$A$32:$A$35</c:f>
              <c:strCache/>
            </c:strRef>
          </c:cat>
          <c:val>
            <c:numRef>
              <c:f>'Early SimaPro Results'!$B$32:$B$35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'Early SimaPro Results'!$C$31</c:f>
              <c:strCache>
                <c:ptCount val="1"/>
                <c:pt idx="0">
                  <c:v>H/H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Results'!$A$32:$A$35</c:f>
              <c:strCache/>
            </c:strRef>
          </c:cat>
          <c:val>
            <c:numRef>
              <c:f>'Early SimaPro Results'!$C$32:$C$35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'Early SimaPro Results'!$D$31</c:f>
              <c:strCache>
                <c:ptCount val="1"/>
                <c:pt idx="0">
                  <c:v>E/A</c:v>
                </c:pt>
              </c:strCache>
            </c:strRef>
          </c:tx>
          <c:spPr>
            <a:solidFill>
              <a:srgbClr val="FF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Results'!$A$32:$A$35</c:f>
              <c:strCache/>
            </c:strRef>
          </c:cat>
          <c:val>
            <c:numRef>
              <c:f>'Early SimaPro Results'!$D$32:$D$35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'Early SimaPro Results'!$E$31</c:f>
              <c:strCache>
                <c:ptCount val="1"/>
                <c:pt idx="0">
                  <c:v>E/E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Results'!$A$32:$A$35</c:f>
              <c:strCache/>
            </c:strRef>
          </c:cat>
          <c:val>
            <c:numRef>
              <c:f>'Early SimaPro Results'!$E$32:$E$35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'Early SimaPro Results'!$F$31</c:f>
              <c:strCache>
                <c:ptCount val="1"/>
                <c:pt idx="0">
                  <c:v>I/A</c:v>
                </c:pt>
              </c:strCache>
            </c:strRef>
          </c:tx>
          <c:spPr>
            <a:solidFill>
              <a:srgbClr val="6600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Results'!$A$32:$A$35</c:f>
              <c:strCache/>
            </c:strRef>
          </c:cat>
          <c:val>
            <c:numRef>
              <c:f>'Early SimaPro Results'!$F$32:$F$35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'Early SimaPro Results'!$G$31</c:f>
              <c:strCache>
                <c:ptCount val="1"/>
                <c:pt idx="0">
                  <c:v>I/I</c:v>
                </c:pt>
              </c:strCache>
            </c:strRef>
          </c:tx>
          <c:spPr>
            <a:solidFill>
              <a:srgbClr val="FF8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Results'!$A$32:$A$35</c:f>
              <c:strCache/>
            </c:strRef>
          </c:cat>
          <c:val>
            <c:numRef>
              <c:f>'Early SimaPro Results'!$G$32:$G$35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52063602"/>
        <c:axId val="65919235"/>
      </c:bar3DChart>
      <c:catAx>
        <c:axId val="52063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Disposition Option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65919235"/>
        <c:crosses val="autoZero"/>
        <c:auto val="1"/>
        <c:lblOffset val="100"/>
        <c:tickLblSkip val="1"/>
        <c:noMultiLvlLbl val="0"/>
      </c:catAx>
      <c:valAx>
        <c:axId val="659192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Eco Indicator 99 Score (Pt)</a:t>
                </a:r>
              </a:p>
            </c:rich>
          </c:tx>
          <c:layout>
            <c:manualLayout>
              <c:xMode val="factor"/>
              <c:yMode val="factor"/>
              <c:x val="-0.1285"/>
              <c:y val="-0.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20636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"/>
          <c:y val="0.59025"/>
          <c:w val="0.06825"/>
          <c:h val="0.371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1425"/>
          <c:w val="0.846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'Early SimaPro Results'!$B$31</c:f>
              <c:strCache>
                <c:ptCount val="1"/>
                <c:pt idx="0">
                  <c:v>H/A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'Early SimaPro Results'!$A$32:$A$35</c:f>
              <c:strCache/>
            </c:strRef>
          </c:cat>
          <c:val>
            <c:numRef>
              <c:f>'Early SimaPro Results'!$B$32:$B$35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'Early SimaPro Results'!$C$31</c:f>
              <c:strCache>
                <c:ptCount val="1"/>
                <c:pt idx="0">
                  <c:v>H/H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'Early SimaPro Results'!$A$32:$A$35</c:f>
              <c:strCache/>
            </c:strRef>
          </c:cat>
          <c:val>
            <c:numRef>
              <c:f>'Early SimaPro Results'!$C$32:$C$35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'Early SimaPro Results'!$D$31</c:f>
              <c:strCache>
                <c:ptCount val="1"/>
                <c:pt idx="0">
                  <c:v>E/A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'Early SimaPro Results'!$A$32:$A$35</c:f>
              <c:strCache/>
            </c:strRef>
          </c:cat>
          <c:val>
            <c:numRef>
              <c:f>'Early SimaPro Results'!$D$32:$D$35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'Early SimaPro Results'!$E$31</c:f>
              <c:strCache>
                <c:ptCount val="1"/>
                <c:pt idx="0">
                  <c:v>E/E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'Early SimaPro Results'!$A$32:$A$35</c:f>
              <c:strCache/>
            </c:strRef>
          </c:cat>
          <c:val>
            <c:numRef>
              <c:f>'Early SimaPro Results'!$E$32:$E$35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'Early SimaPro Results'!$F$31</c:f>
              <c:strCache>
                <c:ptCount val="1"/>
                <c:pt idx="0">
                  <c:v>I/A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'Early SimaPro Results'!$A$32:$A$35</c:f>
              <c:strCache/>
            </c:strRef>
          </c:cat>
          <c:val>
            <c:numRef>
              <c:f>'Early SimaPro Results'!$F$32:$F$35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'Early SimaPro Results'!$G$31</c:f>
              <c:strCache>
                <c:ptCount val="1"/>
                <c:pt idx="0">
                  <c:v>I/I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'Early SimaPro Results'!$A$32:$A$35</c:f>
              <c:strCache/>
            </c:strRef>
          </c:cat>
          <c:val>
            <c:numRef>
              <c:f>'Early SimaPro Results'!$G$32:$G$35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56402204"/>
        <c:axId val="37857789"/>
      </c:lineChart>
      <c:catAx>
        <c:axId val="56402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Disposition Option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108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57789"/>
        <c:crosses val="autoZero"/>
        <c:auto val="1"/>
        <c:lblOffset val="100"/>
        <c:tickLblSkip val="1"/>
        <c:noMultiLvlLbl val="0"/>
      </c:catAx>
      <c:valAx>
        <c:axId val="37857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Eco Indicator 99 Score (Pt)</a:t>
                </a:r>
              </a:p>
            </c:rich>
          </c:tx>
          <c:layout>
            <c:manualLayout>
              <c:xMode val="factor"/>
              <c:yMode val="factor"/>
              <c:x val="-0.033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64022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075"/>
          <c:y val="0.00975"/>
          <c:w val="0.6875"/>
          <c:h val="0.1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the Weighted Impact Category Results for Bulk Recycling 
</a:t>
            </a:r>
            <a:r>
              <a: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(Ecluding Avoided Metal Benefits) for all Perspectives</a:t>
            </a:r>
          </a:p>
        </c:rich>
      </c:tx>
      <c:layout>
        <c:manualLayout>
          <c:xMode val="factor"/>
          <c:yMode val="factor"/>
          <c:x val="-0.08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379"/>
          <c:w val="0.8655"/>
          <c:h val="0.4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'Early SimaPro Results'!$B$103</c:f>
              <c:strCache>
                <c:ptCount val="1"/>
                <c:pt idx="0">
                  <c:v>H/A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Results'!$A$104:$A$114</c:f>
              <c:strCache/>
            </c:strRef>
          </c:cat>
          <c:val>
            <c:numRef>
              <c:f>'Early SimaPro Results'!$B$104:$B$114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'Early SimaPro Results'!$C$103</c:f>
              <c:strCache>
                <c:ptCount val="1"/>
                <c:pt idx="0">
                  <c:v>H/H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Results'!$A$104:$A$114</c:f>
              <c:strCache/>
            </c:strRef>
          </c:cat>
          <c:val>
            <c:numRef>
              <c:f>'Early SimaPro Results'!$C$104:$C$114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'Early SimaPro Results'!$D$103</c:f>
              <c:strCache>
                <c:ptCount val="1"/>
                <c:pt idx="0">
                  <c:v>E/A</c:v>
                </c:pt>
              </c:strCache>
            </c:strRef>
          </c:tx>
          <c:spPr>
            <a:solidFill>
              <a:srgbClr val="FF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Results'!$A$104:$A$114</c:f>
              <c:strCache/>
            </c:strRef>
          </c:cat>
          <c:val>
            <c:numRef>
              <c:f>'Early SimaPro Results'!$D$104:$D$114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'Early SimaPro Results'!$E$103</c:f>
              <c:strCache>
                <c:ptCount val="1"/>
                <c:pt idx="0">
                  <c:v>E/E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Results'!$A$104:$A$114</c:f>
              <c:strCache/>
            </c:strRef>
          </c:cat>
          <c:val>
            <c:numRef>
              <c:f>'Early SimaPro Results'!$E$104:$E$114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'Early SimaPro Results'!$F$103</c:f>
              <c:strCache>
                <c:ptCount val="1"/>
                <c:pt idx="0">
                  <c:v>I/A</c:v>
                </c:pt>
              </c:strCache>
            </c:strRef>
          </c:tx>
          <c:spPr>
            <a:solidFill>
              <a:srgbClr val="6600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Results'!$A$104:$A$114</c:f>
              <c:strCache/>
            </c:strRef>
          </c:cat>
          <c:val>
            <c:numRef>
              <c:f>'Early SimaPro Results'!$F$104:$F$114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'Early SimaPro Results'!$G$103</c:f>
              <c:strCache>
                <c:ptCount val="1"/>
                <c:pt idx="0">
                  <c:v>I/I</c:v>
                </c:pt>
              </c:strCache>
            </c:strRef>
          </c:tx>
          <c:spPr>
            <a:solidFill>
              <a:srgbClr val="FF8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Results'!$A$104:$A$114</c:f>
              <c:strCache/>
            </c:strRef>
          </c:cat>
          <c:val>
            <c:numRef>
              <c:f>'Early SimaPro Results'!$G$104:$G$114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175782"/>
        <c:axId val="46582039"/>
      </c:barChart>
      <c:catAx>
        <c:axId val="5175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Impact Category</a:t>
                </a:r>
              </a:p>
            </c:rich>
          </c:tx>
          <c:layout>
            <c:manualLayout>
              <c:xMode val="factor"/>
              <c:yMode val="factor"/>
              <c:x val="-0.14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82039"/>
        <c:crosses val="autoZero"/>
        <c:auto val="1"/>
        <c:lblOffset val="100"/>
        <c:tickLblSkip val="1"/>
        <c:noMultiLvlLbl val="0"/>
      </c:catAx>
      <c:valAx>
        <c:axId val="46582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Eco Indicator 99 Score (Pt)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1757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5"/>
          <c:y val="0.47475"/>
          <c:w val="0.0515"/>
          <c:h val="0.30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Recycled Boiler Transport Environmental Load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3715"/>
          <c:w val="0.89675"/>
          <c:h val="0.5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'Boiler Disposal&amp;Recycling'!$L$74</c:f>
              <c:strCache>
                <c:ptCount val="1"/>
                <c:pt idx="0">
                  <c:v>Eco Indicator (KPt) Transport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'Boiler Disposal&amp;Recycling'!$K$75:$K$82</c:f>
              <c:strCache/>
            </c:strRef>
          </c:cat>
          <c:val>
            <c:numRef>
              <c:f>'Boiler Disposal&amp;Recycling'!$L$75:$L$82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0972968"/>
        <c:axId val="54538985"/>
      </c:barChart>
      <c:catAx>
        <c:axId val="20972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Transport Type</a:t>
                </a:r>
              </a:p>
            </c:rich>
          </c:tx>
          <c:layout>
            <c:manualLayout>
              <c:xMode val="factor"/>
              <c:yMode val="factor"/>
              <c:x val="-0.036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4538985"/>
        <c:crosses val="autoZero"/>
        <c:auto val="1"/>
        <c:lblOffset val="100"/>
        <c:tickLblSkip val="1"/>
        <c:noMultiLvlLbl val="0"/>
      </c:catAx>
      <c:valAx>
        <c:axId val="54538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Eco Indicator (KPt)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09729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the Weighted Impact Category Results for Bulk Recycling (Including Avoided Metal Benefits) for all Perspective</a:t>
            </a:r>
          </a:p>
        </c:rich>
      </c:tx>
      <c:layout>
        <c:manualLayout>
          <c:xMode val="factor"/>
          <c:yMode val="factor"/>
          <c:x val="-0.014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885"/>
          <c:w val="0.86525"/>
          <c:h val="0.5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'Early SimaPro Results'!$B$118</c:f>
              <c:strCache>
                <c:ptCount val="1"/>
                <c:pt idx="0">
                  <c:v>H/A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Results'!$A$119:$A$129</c:f>
              <c:strCache/>
            </c:strRef>
          </c:cat>
          <c:val>
            <c:numRef>
              <c:f>'Early SimaPro Results'!$B$119:$B$129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'Early SimaPro Results'!$C$118</c:f>
              <c:strCache>
                <c:ptCount val="1"/>
                <c:pt idx="0">
                  <c:v>H/H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Results'!$A$119:$A$129</c:f>
              <c:strCache/>
            </c:strRef>
          </c:cat>
          <c:val>
            <c:numRef>
              <c:f>'Early SimaPro Results'!$C$119:$C$129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'Early SimaPro Results'!$D$118</c:f>
              <c:strCache>
                <c:ptCount val="1"/>
                <c:pt idx="0">
                  <c:v>E/A</c:v>
                </c:pt>
              </c:strCache>
            </c:strRef>
          </c:tx>
          <c:spPr>
            <a:solidFill>
              <a:srgbClr val="FF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Results'!$A$119:$A$129</c:f>
              <c:strCache/>
            </c:strRef>
          </c:cat>
          <c:val>
            <c:numRef>
              <c:f>'Early SimaPro Results'!$D$119:$D$129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'Early SimaPro Results'!$E$118</c:f>
              <c:strCache>
                <c:ptCount val="1"/>
                <c:pt idx="0">
                  <c:v>E/E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Results'!$A$119:$A$129</c:f>
              <c:strCache/>
            </c:strRef>
          </c:cat>
          <c:val>
            <c:numRef>
              <c:f>'Early SimaPro Results'!$E$119:$E$129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'Early SimaPro Results'!$F$118</c:f>
              <c:strCache>
                <c:ptCount val="1"/>
                <c:pt idx="0">
                  <c:v>I/A</c:v>
                </c:pt>
              </c:strCache>
            </c:strRef>
          </c:tx>
          <c:spPr>
            <a:solidFill>
              <a:srgbClr val="6600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Results'!$A$119:$A$129</c:f>
              <c:strCache/>
            </c:strRef>
          </c:cat>
          <c:val>
            <c:numRef>
              <c:f>'Early SimaPro Results'!$F$119:$F$129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'Early SimaPro Results'!$G$118</c:f>
              <c:strCache>
                <c:ptCount val="1"/>
                <c:pt idx="0">
                  <c:v>I/I</c:v>
                </c:pt>
              </c:strCache>
            </c:strRef>
          </c:tx>
          <c:spPr>
            <a:solidFill>
              <a:srgbClr val="FF8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Results'!$A$119:$A$129</c:f>
              <c:strCache/>
            </c:strRef>
          </c:cat>
          <c:val>
            <c:numRef>
              <c:f>'Early SimaPro Results'!$G$119:$G$129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6585168"/>
        <c:axId val="15048785"/>
      </c:barChart>
      <c:catAx>
        <c:axId val="16585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Impact Category</a:t>
                </a:r>
              </a:p>
            </c:rich>
          </c:tx>
          <c:layout>
            <c:manualLayout>
              <c:xMode val="factor"/>
              <c:yMode val="factor"/>
              <c:x val="-0.1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48785"/>
        <c:crosses val="autoZero"/>
        <c:auto val="1"/>
        <c:lblOffset val="100"/>
        <c:tickLblSkip val="1"/>
        <c:noMultiLvlLbl val="0"/>
      </c:catAx>
      <c:valAx>
        <c:axId val="15048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Eco Indicator 99 Score (Pt)</a:t>
                </a:r>
              </a:p>
            </c:rich>
          </c:tx>
          <c:layout>
            <c:manualLayout>
              <c:xMode val="factor"/>
              <c:yMode val="factor"/>
              <c:x val="-0.028"/>
              <c:y val="-0.14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65851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25"/>
          <c:y val="0.69075"/>
          <c:w val="0.0515"/>
          <c:h val="0.294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5"/>
          <c:y val="0.122"/>
          <c:w val="0.88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'Early SimaPro Results'!$A$134</c:f>
              <c:strCache>
                <c:ptCount val="1"/>
                <c:pt idx="0">
                  <c:v>Eco Indicator 99 Europe H/A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'Early SimaPro Results'!$B$133:$E$133</c:f>
              <c:strCache/>
            </c:strRef>
          </c:cat>
          <c:val>
            <c:numRef>
              <c:f>'Early SimaPro Results'!$B$134:$E$134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'Early SimaPro Results'!$A$135</c:f>
              <c:strCache>
                <c:ptCount val="1"/>
                <c:pt idx="0">
                  <c:v>ReCiPe 2008 Europe H/A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'Early SimaPro Results'!$B$133:$E$133</c:f>
              <c:strCache/>
            </c:strRef>
          </c:cat>
          <c:val>
            <c:numRef>
              <c:f>'Early SimaPro Results'!$B$135:$E$135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1221338"/>
        <c:axId val="10992043"/>
      </c:lineChart>
      <c:catAx>
        <c:axId val="1221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Disposition Option</a:t>
                </a:r>
              </a:p>
            </c:rich>
          </c:tx>
          <c:layout>
            <c:manualLayout>
              <c:xMode val="factor"/>
              <c:yMode val="factor"/>
              <c:x val="-0.031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12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92043"/>
        <c:crosses val="autoZero"/>
        <c:auto val="1"/>
        <c:lblOffset val="100"/>
        <c:tickLblSkip val="1"/>
        <c:noMultiLvlLbl val="0"/>
      </c:catAx>
      <c:valAx>
        <c:axId val="10992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Life Cycle Impact (Pt)</a:t>
                </a:r>
              </a:p>
            </c:rich>
          </c:tx>
          <c:layout>
            <c:manualLayout>
              <c:xMode val="factor"/>
              <c:yMode val="factor"/>
              <c:x val="-0.03975"/>
              <c:y val="-0.0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2213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925"/>
          <c:y val="0.00375"/>
          <c:w val="0.75325"/>
          <c:h val="0.1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Eco Indicator 99 and ReCiPe Net Life Cycle Impact Including Avoided metal benefit</a:t>
            </a:r>
          </a:p>
        </c:rich>
      </c:tx>
      <c:layout>
        <c:manualLayout>
          <c:xMode val="factor"/>
          <c:yMode val="factor"/>
          <c:x val="0.02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4915"/>
          <c:w val="0.9255"/>
          <c:h val="0.4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'Early SimaPro Results'!$A$134</c:f>
              <c:strCache>
                <c:ptCount val="1"/>
                <c:pt idx="0">
                  <c:v>Eco Indicator 99 Europe H/A</c:v>
                </c:pt>
              </c:strCache>
            </c:strRef>
          </c:tx>
          <c:spPr>
            <a:solidFill>
              <a:srgbClr val="000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Results'!$B$133:$E$133</c:f>
              <c:strCache/>
            </c:strRef>
          </c:cat>
          <c:val>
            <c:numRef>
              <c:f>'Early SimaPro Results'!$B$134:$E$134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'Early SimaPro Results'!$A$135</c:f>
              <c:strCache>
                <c:ptCount val="1"/>
                <c:pt idx="0">
                  <c:v>ReCiPe 2008 Europe H/A</c:v>
                </c:pt>
              </c:strCache>
            </c:strRef>
          </c:tx>
          <c:spPr>
            <a:solidFill>
              <a:srgbClr val="FF66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Results'!$B$133:$E$133</c:f>
              <c:strCache/>
            </c:strRef>
          </c:cat>
          <c:val>
            <c:numRef>
              <c:f>'Early SimaPro Results'!$B$135:$E$135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1819524"/>
        <c:axId val="17940261"/>
      </c:barChart>
      <c:catAx>
        <c:axId val="31819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Disposition Option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7940261"/>
        <c:crosses val="autoZero"/>
        <c:auto val="1"/>
        <c:lblOffset val="100"/>
        <c:tickLblSkip val="1"/>
        <c:noMultiLvlLbl val="0"/>
      </c:catAx>
      <c:valAx>
        <c:axId val="17940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Life Cycle Impact (Pt)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18195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125"/>
          <c:y val="0.31125"/>
          <c:w val="0.42625"/>
          <c:h val="0.062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Eco Indicator 99 and ReCipe Net Life Cycle Impact Excluding Avoided Metal Benefit</a:t>
            </a:r>
          </a:p>
        </c:rich>
      </c:tx>
      <c:layout>
        <c:manualLayout>
          <c:xMode val="factor"/>
          <c:yMode val="factor"/>
          <c:x val="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502"/>
          <c:w val="0.924"/>
          <c:h val="0.385"/>
        </c:manualLayout>
      </c:layout>
      <c:lineChart>
        <c:grouping val="standard"/>
        <c:varyColors val="0"/>
        <c:ser>
          <c:idx val="0"/>
          <c:order val="0"/>
          <c:tx>
            <c:strRef>
              <c:f>'Early SimaPro Results'!$A$138</c:f>
              <c:strCache>
                <c:ptCount val="1"/>
                <c:pt idx="0">
                  <c:v>Eco Indicator 99 Europe H/A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'Early SimaPro Results'!$B$137:$E$137</c:f>
              <c:strCache/>
            </c:strRef>
          </c:cat>
          <c:val>
            <c:numRef>
              <c:f>'Early SimaPro Results'!$B$138:$E$138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'Early SimaPro Results'!$A$139</c:f>
              <c:strCache>
                <c:ptCount val="1"/>
                <c:pt idx="0">
                  <c:v>ReCipE Europe H/A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'Early SimaPro Results'!$B$137:$E$137</c:f>
              <c:strCache/>
            </c:strRef>
          </c:cat>
          <c:val>
            <c:numRef>
              <c:f>'Early SimaPro Results'!$B$139:$E$139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7244622"/>
        <c:axId val="43875007"/>
      </c:lineChart>
      <c:catAx>
        <c:axId val="27244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Disposition Option</a:t>
                </a:r>
              </a:p>
            </c:rich>
          </c:tx>
          <c:layout>
            <c:manualLayout>
              <c:xMode val="factor"/>
              <c:yMode val="factor"/>
              <c:x val="-0.059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3875007"/>
        <c:crosses val="autoZero"/>
        <c:auto val="1"/>
        <c:lblOffset val="100"/>
        <c:tickLblSkip val="1"/>
        <c:noMultiLvlLbl val="0"/>
      </c:catAx>
      <c:valAx>
        <c:axId val="43875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Life Cycle Impact (Pt)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72446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5"/>
          <c:y val="0.3275"/>
          <c:w val="0.46625"/>
          <c:h val="0.065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Eco Indicator 99 and ReCiPe Net Life Cycle Impact Excluding Avoided Metal Benefit</a:t>
            </a:r>
          </a:p>
        </c:rich>
      </c:tx>
      <c:layout>
        <c:manualLayout>
          <c:xMode val="factor"/>
          <c:yMode val="factor"/>
          <c:x val="0.0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499"/>
          <c:w val="0.927"/>
          <c:h val="0.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'Early SimaPro Results'!$A$138</c:f>
              <c:strCache>
                <c:ptCount val="1"/>
                <c:pt idx="0">
                  <c:v>Eco Indicator 99 Europe H/A</c:v>
                </c:pt>
              </c:strCache>
            </c:strRef>
          </c:tx>
          <c:spPr>
            <a:solidFill>
              <a:srgbClr val="000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Results'!$B$137:$E$137</c:f>
              <c:strCache/>
            </c:strRef>
          </c:cat>
          <c:val>
            <c:numRef>
              <c:f>'Early SimaPro Results'!$B$138:$E$138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'Early SimaPro Results'!$A$139</c:f>
              <c:strCache>
                <c:ptCount val="1"/>
                <c:pt idx="0">
                  <c:v>ReCipE Europe H/A</c:v>
                </c:pt>
              </c:strCache>
            </c:strRef>
          </c:tx>
          <c:spPr>
            <a:solidFill>
              <a:srgbClr val="FF66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Results'!$B$137:$E$137</c:f>
              <c:strCache/>
            </c:strRef>
          </c:cat>
          <c:val>
            <c:numRef>
              <c:f>'Early SimaPro Results'!$B$139:$E$139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9330744"/>
        <c:axId val="64214649"/>
      </c:barChart>
      <c:catAx>
        <c:axId val="59330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Disposition Option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4214649"/>
        <c:crosses val="autoZero"/>
        <c:auto val="1"/>
        <c:lblOffset val="100"/>
        <c:tickLblSkip val="1"/>
        <c:noMultiLvlLbl val="0"/>
      </c:catAx>
      <c:valAx>
        <c:axId val="64214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Life Cycle Impact (Pt)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93307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025"/>
          <c:y val="0.326"/>
          <c:w val="0.368"/>
          <c:h val="0.065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ReCiPe Weighted Impact Category Results 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(Including Avoided Metal Benefit)</a:t>
            </a:r>
          </a:p>
        </c:rich>
      </c:tx>
      <c:layout>
        <c:manualLayout>
          <c:xMode val="factor"/>
          <c:yMode val="factor"/>
          <c:x val="-0.035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436"/>
          <c:w val="0.925"/>
          <c:h val="0.4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'Early SimaPro Results'!$B$141</c:f>
              <c:strCache>
                <c:ptCount val="1"/>
                <c:pt idx="0">
                  <c:v>Direct Disposal (Pt)</c:v>
                </c:pt>
              </c:strCache>
            </c:strRef>
          </c:tx>
          <c:spPr>
            <a:solidFill>
              <a:srgbClr val="FFCC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Results'!$A$142:$A$158</c:f>
              <c:strCache/>
            </c:strRef>
          </c:cat>
          <c:val>
            <c:numRef>
              <c:f>'Early SimaPro Results'!$B$142:$B$158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'Early SimaPro Results'!$C$141</c:f>
              <c:strCache>
                <c:ptCount val="1"/>
                <c:pt idx="0">
                  <c:v>Packaged Disposal (Pt)</c:v>
                </c:pt>
              </c:strCache>
            </c:strRef>
          </c:tx>
          <c:spPr>
            <a:solidFill>
              <a:srgbClr val="CC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Results'!$A$142:$A$158</c:f>
              <c:strCache/>
            </c:strRef>
          </c:cat>
          <c:val>
            <c:numRef>
              <c:f>'Early SimaPro Results'!$C$142:$C$158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tx>
            <c:strRef>
              <c:f>'Early SimaPro Results'!$D$141</c:f>
              <c:strCache>
                <c:ptCount val="1"/>
                <c:pt idx="0">
                  <c:v>Bulk Recycling (Pt)</c:v>
                </c:pt>
              </c:strCache>
            </c:strRef>
          </c:tx>
          <c:spPr>
            <a:solidFill>
              <a:srgbClr val="F20884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Results'!$A$142:$A$158</c:f>
              <c:strCache/>
            </c:strRef>
          </c:cat>
          <c:val>
            <c:numRef>
              <c:f>'Early SimaPro Results'!$D$142:$D$158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tx>
            <c:strRef>
              <c:f>'Early SimaPro Results'!$E$141</c:f>
              <c:strCache>
                <c:ptCount val="1"/>
                <c:pt idx="0">
                  <c:v>Containerised Recycling (Pt)</c:v>
                </c:pt>
              </c:strCache>
            </c:strRef>
          </c:tx>
          <c:spPr>
            <a:solidFill>
              <a:srgbClr val="008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Results'!$A$142:$A$158</c:f>
              <c:strCache/>
            </c:strRef>
          </c:cat>
          <c:val>
            <c:numRef>
              <c:f>'Early SimaPro Results'!$E$142:$E$158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41060930"/>
        <c:axId val="34004051"/>
      </c:barChart>
      <c:catAx>
        <c:axId val="41060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Impact Category</a:t>
                </a:r>
              </a:p>
            </c:rich>
          </c:tx>
          <c:layout>
            <c:manualLayout>
              <c:xMode val="factor"/>
              <c:yMode val="factor"/>
              <c:x val="-0.08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04051"/>
        <c:crosses val="autoZero"/>
        <c:auto val="1"/>
        <c:lblOffset val="100"/>
        <c:tickLblSkip val="2"/>
        <c:noMultiLvlLbl val="0"/>
      </c:catAx>
      <c:valAx>
        <c:axId val="34004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Life Cycle Impact (Pt)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10609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5"/>
          <c:y val="0.34975"/>
          <c:w val="0.8855"/>
          <c:h val="0.068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Eco Indicator 99 Weighted Impact category Results 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(Including Avoided Metal benefit) </a:t>
            </a:r>
          </a:p>
        </c:rich>
      </c:tx>
      <c:layout>
        <c:manualLayout>
          <c:xMode val="factor"/>
          <c:yMode val="factor"/>
          <c:x val="-0.04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4575"/>
          <c:w val="0.928"/>
          <c:h val="0.4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'Early SimaPro Results'!$B$162</c:f>
              <c:strCache>
                <c:ptCount val="1"/>
                <c:pt idx="0">
                  <c:v>Direct Disposal (Pt)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Results'!$A$163:$A$173</c:f>
              <c:strCache/>
            </c:strRef>
          </c:cat>
          <c:val>
            <c:numRef>
              <c:f>'Early SimaPro Results'!$B$163:$B$173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'Early SimaPro Results'!$C$162</c:f>
              <c:strCache>
                <c:ptCount val="1"/>
                <c:pt idx="0">
                  <c:v>Packaged Disposal (Pt)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Results'!$A$163:$A$173</c:f>
              <c:strCache/>
            </c:strRef>
          </c:cat>
          <c:val>
            <c:numRef>
              <c:f>'Early SimaPro Results'!$C$163:$C$173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'Early SimaPro Results'!$D$162</c:f>
              <c:strCache>
                <c:ptCount val="1"/>
                <c:pt idx="0">
                  <c:v>Bulk Recycling (Pt)</c:v>
                </c:pt>
              </c:strCache>
            </c:strRef>
          </c:tx>
          <c:spPr>
            <a:solidFill>
              <a:srgbClr val="FF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Results'!$A$163:$A$173</c:f>
              <c:strCache/>
            </c:strRef>
          </c:cat>
          <c:val>
            <c:numRef>
              <c:f>'Early SimaPro Results'!$D$163:$D$173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'Early SimaPro Results'!$E$162</c:f>
              <c:strCache>
                <c:ptCount val="1"/>
                <c:pt idx="0">
                  <c:v>Containerised Recycling (Pt)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Results'!$A$163:$A$173</c:f>
              <c:strCache/>
            </c:strRef>
          </c:cat>
          <c:val>
            <c:numRef>
              <c:f>'Early SimaPro Results'!$E$163:$E$173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7601004"/>
        <c:axId val="2864717"/>
      </c:barChart>
      <c:catAx>
        <c:axId val="37601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Impact Category</a:t>
                </a:r>
              </a:p>
            </c:rich>
          </c:tx>
          <c:layout>
            <c:manualLayout>
              <c:xMode val="factor"/>
              <c:yMode val="factor"/>
              <c:x val="-0.05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4717"/>
        <c:crosses val="autoZero"/>
        <c:auto val="1"/>
        <c:lblOffset val="100"/>
        <c:tickLblSkip val="1"/>
        <c:noMultiLvlLbl val="0"/>
      </c:catAx>
      <c:valAx>
        <c:axId val="2864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Life Cycle Impact (pT0</a:t>
                </a:r>
              </a:p>
            </c:rich>
          </c:tx>
          <c:layout>
            <c:manualLayout>
              <c:xMode val="factor"/>
              <c:yMode val="factor"/>
              <c:x val="-0.025"/>
              <c:y val="-0.0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76010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.4345"/>
          <c:w val="0.84575"/>
          <c:h val="0.0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ReCiPe Impact Category Results (Excluding Avoided Metal Benefit) </a:t>
            </a:r>
          </a:p>
        </c:rich>
      </c:tx>
      <c:layout>
        <c:manualLayout>
          <c:xMode val="factor"/>
          <c:yMode val="factor"/>
          <c:x val="-0.068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306"/>
          <c:w val="0.928"/>
          <c:h val="0.6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'Early SimaPro Results'!$B$177</c:f>
              <c:strCache>
                <c:ptCount val="1"/>
                <c:pt idx="0">
                  <c:v>Direct Disposal (Pt)</c:v>
                </c:pt>
              </c:strCache>
            </c:strRef>
          </c:tx>
          <c:spPr>
            <a:solidFill>
              <a:srgbClr val="FFCC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Results'!$A$178:$A$194</c:f>
              <c:strCache/>
            </c:strRef>
          </c:cat>
          <c:val>
            <c:numRef>
              <c:f>'Early SimaPro Results'!$B$178:$B$194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'Early SimaPro Results'!$C$177</c:f>
              <c:strCache>
                <c:ptCount val="1"/>
                <c:pt idx="0">
                  <c:v>Packaged Disposal (Pt)</c:v>
                </c:pt>
              </c:strCache>
            </c:strRef>
          </c:tx>
          <c:spPr>
            <a:solidFill>
              <a:srgbClr val="CC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Results'!$A$178:$A$194</c:f>
              <c:strCache/>
            </c:strRef>
          </c:cat>
          <c:val>
            <c:numRef>
              <c:f>'Early SimaPro Results'!$C$178:$C$194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tx>
            <c:strRef>
              <c:f>'Early SimaPro Results'!$D$177</c:f>
              <c:strCache>
                <c:ptCount val="1"/>
                <c:pt idx="0">
                  <c:v>Bulk Recycling (Pt)</c:v>
                </c:pt>
              </c:strCache>
            </c:strRef>
          </c:tx>
          <c:spPr>
            <a:solidFill>
              <a:srgbClr val="F20884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Results'!$A$178:$A$194</c:f>
              <c:strCache/>
            </c:strRef>
          </c:cat>
          <c:val>
            <c:numRef>
              <c:f>'Early SimaPro Results'!$D$178:$D$194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tx>
            <c:strRef>
              <c:f>'Early SimaPro Results'!$E$177</c:f>
              <c:strCache>
                <c:ptCount val="1"/>
                <c:pt idx="0">
                  <c:v>Containerised Recycling (Pt)</c:v>
                </c:pt>
              </c:strCache>
            </c:strRef>
          </c:tx>
          <c:spPr>
            <a:solidFill>
              <a:srgbClr val="008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Results'!$A$178:$A$194</c:f>
              <c:strCache/>
            </c:strRef>
          </c:cat>
          <c:val>
            <c:numRef>
              <c:f>'Early SimaPro Results'!$E$178:$E$194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25782454"/>
        <c:axId val="30715495"/>
      </c:barChart>
      <c:catAx>
        <c:axId val="25782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Impact Category</a:t>
                </a:r>
              </a:p>
            </c:rich>
          </c:tx>
          <c:layout>
            <c:manualLayout>
              <c:xMode val="factor"/>
              <c:yMode val="factor"/>
              <c:x val="-0.146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15495"/>
        <c:crosses val="autoZero"/>
        <c:auto val="1"/>
        <c:lblOffset val="100"/>
        <c:tickLblSkip val="1"/>
        <c:noMultiLvlLbl val="0"/>
      </c:catAx>
      <c:valAx>
        <c:axId val="30715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Life Cycle Impact (Pt)</a:t>
                </a:r>
              </a:p>
            </c:rich>
          </c:tx>
          <c:layout>
            <c:manualLayout>
              <c:xMode val="factor"/>
              <c:yMode val="factor"/>
              <c:x val="-0.03525"/>
              <c:y val="-0.0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57824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69"/>
          <c:w val="0.84575"/>
          <c:h val="0.060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Eco Indicator 99 Impact categry Results (Excluding Avoided Metal Benefit)</a:t>
            </a:r>
          </a:p>
        </c:rich>
      </c:tx>
      <c:layout>
        <c:manualLayout>
          <c:xMode val="factor"/>
          <c:yMode val="factor"/>
          <c:x val="-0.085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24825"/>
          <c:w val="0.7325"/>
          <c:h val="0.6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'Early SimaPro Results'!$B$198</c:f>
              <c:strCache>
                <c:ptCount val="1"/>
                <c:pt idx="0">
                  <c:v>Direct Disposal (Pt)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Results'!$A$199:$A$209</c:f>
              <c:strCache/>
            </c:strRef>
          </c:cat>
          <c:val>
            <c:numRef>
              <c:f>'Early SimaPro Results'!$B$199:$B$209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'Early SimaPro Results'!$C$198</c:f>
              <c:strCache>
                <c:ptCount val="1"/>
                <c:pt idx="0">
                  <c:v>Packaged Disposal (Pt)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Results'!$A$199:$A$209</c:f>
              <c:strCache/>
            </c:strRef>
          </c:cat>
          <c:val>
            <c:numRef>
              <c:f>'Early SimaPro Results'!$C$199:$C$209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'Early SimaPro Results'!$D$198</c:f>
              <c:strCache>
                <c:ptCount val="1"/>
                <c:pt idx="0">
                  <c:v>Bulk Recycling (Pt)</c:v>
                </c:pt>
              </c:strCache>
            </c:strRef>
          </c:tx>
          <c:spPr>
            <a:solidFill>
              <a:srgbClr val="FF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Results'!$A$199:$A$209</c:f>
              <c:strCache/>
            </c:strRef>
          </c:cat>
          <c:val>
            <c:numRef>
              <c:f>'Early SimaPro Results'!$D$199:$D$209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'Early SimaPro Results'!$E$198</c:f>
              <c:strCache>
                <c:ptCount val="1"/>
                <c:pt idx="0">
                  <c:v>Containerised Recycling (Pt)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Results'!$A$199:$A$209</c:f>
              <c:strCache/>
            </c:strRef>
          </c:cat>
          <c:val>
            <c:numRef>
              <c:f>'Early SimaPro Results'!$E$199:$E$209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8004000"/>
        <c:axId val="4927137"/>
      </c:barChart>
      <c:catAx>
        <c:axId val="800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Impact Category</a:t>
                </a:r>
              </a:p>
            </c:rich>
          </c:tx>
          <c:layout>
            <c:manualLayout>
              <c:xMode val="factor"/>
              <c:yMode val="factor"/>
              <c:x val="-0.095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7137"/>
        <c:crosses val="autoZero"/>
        <c:auto val="1"/>
        <c:lblOffset val="100"/>
        <c:tickLblSkip val="2"/>
        <c:noMultiLvlLbl val="0"/>
      </c:catAx>
      <c:valAx>
        <c:axId val="4927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Life Cycle Impact (Pt)</a:t>
                </a:r>
              </a:p>
            </c:rich>
          </c:tx>
          <c:layout>
            <c:manualLayout>
              <c:xMode val="factor"/>
              <c:yMode val="factor"/>
              <c:x val="-0.03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80040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4465"/>
          <c:w val="0.18575"/>
          <c:h val="0.182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25"/>
          <c:w val="0.9245"/>
          <c:h val="0.6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'Early SimaPro Results'!$A$214</c:f>
              <c:strCache>
                <c:ptCount val="1"/>
                <c:pt idx="0">
                  <c:v>Boiler Steel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Results'!$B$213:$I$213</c:f>
              <c:strCache/>
            </c:strRef>
          </c:cat>
          <c:val>
            <c:numRef>
              <c:f>'Early SimaPro Results'!$B$214:$I$214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'Early SimaPro Results'!$A$215</c:f>
              <c:strCache>
                <c:ptCount val="1"/>
                <c:pt idx="0">
                  <c:v>HHISO Steel</c:v>
                </c:pt>
              </c:strCache>
            </c:strRef>
          </c:tx>
          <c:spPr>
            <a:solidFill>
              <a:srgbClr val="FF99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Results'!$B$213:$I$213</c:f>
              <c:strCache/>
            </c:strRef>
          </c:cat>
          <c:val>
            <c:numRef>
              <c:f>'Early SimaPro Results'!$B$215:$I$215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'Early SimaPro Results'!$A$216</c:f>
              <c:strCache>
                <c:ptCount val="1"/>
                <c:pt idx="0">
                  <c:v>HHISO Production</c:v>
                </c:pt>
              </c:strCache>
            </c:strRef>
          </c:tx>
          <c:spPr>
            <a:solidFill>
              <a:srgbClr val="FFCC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Results'!$B$213:$I$213</c:f>
              <c:strCache/>
            </c:strRef>
          </c:cat>
          <c:val>
            <c:numRef>
              <c:f>'Early SimaPro Results'!$B$216:$I$216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'Early SimaPro Results'!$A$217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DD080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Results'!$B$213:$I$213</c:f>
              <c:strCache/>
            </c:strRef>
          </c:cat>
          <c:val>
            <c:numRef>
              <c:f>'Early SimaPro Results'!$B$217:$I$217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'Early SimaPro Results'!$A$218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800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Results'!$B$213:$I$213</c:f>
              <c:strCache/>
            </c:strRef>
          </c:cat>
          <c:val>
            <c:numRef>
              <c:f>'Early SimaPro Results'!$B$218:$I$218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'Early SimaPro Results'!$A$219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Results'!$B$213:$I$213</c:f>
              <c:strCache/>
            </c:strRef>
          </c:cat>
          <c:val>
            <c:numRef>
              <c:f>'Early SimaPro Results'!$B$219:$I$219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6"/>
          <c:order val="6"/>
          <c:tx>
            <c:strRef>
              <c:f>'Early SimaPro Results'!$A$220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Results'!$B$213:$I$213</c:f>
              <c:strCache/>
            </c:strRef>
          </c:cat>
          <c:val>
            <c:numRef>
              <c:f>'Early SimaPro Results'!$B$220:$I$220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7"/>
          <c:order val="7"/>
          <c:tx>
            <c:strRef>
              <c:f>'Early SimaPro Results'!$A$221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Results'!$B$213:$I$213</c:f>
              <c:strCache/>
            </c:strRef>
          </c:cat>
          <c:val>
            <c:numRef>
              <c:f>'Early SimaPro Results'!$B$221:$I$221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8"/>
          <c:order val="8"/>
          <c:tx>
            <c:strRef>
              <c:f>'Early SimaPro Results'!$A$222</c:f>
              <c:strCache>
                <c:ptCount val="1"/>
                <c:pt idx="0">
                  <c:v>Recycling  Avoided Metal</c:v>
                </c:pt>
              </c:strCache>
            </c:strRef>
          </c:tx>
          <c:spPr>
            <a:solidFill>
              <a:srgbClr val="3399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Results'!$B$213:$I$213</c:f>
              <c:strCache/>
            </c:strRef>
          </c:cat>
          <c:val>
            <c:numRef>
              <c:f>'Early SimaPro Results'!$B$222:$I$222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9"/>
          <c:order val="9"/>
          <c:tx>
            <c:strRef>
              <c:f>'Early SimaPro Results'!$A$223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FF8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Results'!$B$213:$I$213</c:f>
              <c:strCache/>
            </c:strRef>
          </c:cat>
          <c:val>
            <c:numRef>
              <c:f>'Early SimaPro Results'!$B$223:$I$223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'Early SimaPro Results'!$A$224</c:f>
              <c:strCache>
                <c:ptCount val="1"/>
                <c:pt idx="0">
                  <c:v>Grout</c:v>
                </c:pt>
              </c:strCache>
            </c:strRef>
          </c:tx>
          <c:spPr>
            <a:solidFill>
              <a:srgbClr val="CC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Results'!$B$213:$I$213</c:f>
              <c:strCache/>
            </c:strRef>
          </c:cat>
          <c:val>
            <c:numRef>
              <c:f>'Early SimaPro Results'!$B$224:$I$224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'Early SimaPro Results'!$A$225</c:f>
              <c:strCache>
                <c:ptCount val="1"/>
                <c:pt idx="0">
                  <c:v>Backfill</c:v>
                </c:pt>
              </c:strCache>
            </c:strRef>
          </c:tx>
          <c:spPr>
            <a:solidFill>
              <a:srgbClr val="9933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Results'!$B$213:$I$213</c:f>
              <c:strCache/>
            </c:strRef>
          </c:cat>
          <c:val>
            <c:numRef>
              <c:f>'Early SimaPro Results'!$B$225:$I$225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44344234"/>
        <c:axId val="63553787"/>
      </c:barChart>
      <c:catAx>
        <c:axId val="4434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Disposition Options</a:t>
                </a:r>
              </a:p>
            </c:rich>
          </c:tx>
          <c:layout>
            <c:manualLayout>
              <c:xMode val="factor"/>
              <c:yMode val="factor"/>
              <c:x val="-0.080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53787"/>
        <c:crosses val="autoZero"/>
        <c:auto val="1"/>
        <c:lblOffset val="100"/>
        <c:tickLblSkip val="1"/>
        <c:noMultiLvlLbl val="0"/>
      </c:catAx>
      <c:valAx>
        <c:axId val="63553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Eco Indicator Score (Pt)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6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43442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5"/>
          <c:y val="0.06725"/>
          <c:w val="0.98725"/>
          <c:h val="0.192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Recycled Boiler Environmental Load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4175"/>
          <c:w val="0.89675"/>
          <c:h val="0.4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'Boiler Disposal&amp;Recycling'!$L$60</c:f>
              <c:strCache>
                <c:ptCount val="1"/>
                <c:pt idx="0">
                  <c:v>Eco Indicator (KPt) Boilers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'Boiler Disposal&amp;Recycling'!$K$61:$K$70</c:f>
              <c:strCache/>
            </c:strRef>
          </c:cat>
          <c:val>
            <c:numRef>
              <c:f>'Boiler Disposal&amp;Recycling'!$L$61:$L$70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1088818"/>
        <c:axId val="55581635"/>
      </c:barChart>
      <c:catAx>
        <c:axId val="21088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Materials and Production</a:t>
                </a:r>
              </a:p>
            </c:rich>
          </c:tx>
          <c:layout>
            <c:manualLayout>
              <c:xMode val="factor"/>
              <c:yMode val="factor"/>
              <c:x val="-0.12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81635"/>
        <c:crosses val="autoZero"/>
        <c:auto val="1"/>
        <c:lblOffset val="100"/>
        <c:tickLblSkip val="2"/>
        <c:noMultiLvlLbl val="0"/>
      </c:catAx>
      <c:valAx>
        <c:axId val="55581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Eco Indicator (KPt)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10888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18525"/>
          <c:w val="0.93275"/>
          <c:h val="0.71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'Early SimaPro Results'!$A$230</c:f>
              <c:strCache>
                <c:ptCount val="1"/>
                <c:pt idx="0">
                  <c:v>Boiler Steel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Results'!$B$229:$I$229</c:f>
              <c:strCache/>
            </c:strRef>
          </c:cat>
          <c:val>
            <c:numRef>
              <c:f>'Early SimaPro Results'!$B$230:$I$230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'Early SimaPro Results'!$A$231</c:f>
              <c:strCache>
                <c:ptCount val="1"/>
                <c:pt idx="0">
                  <c:v>HHISO Steel</c:v>
                </c:pt>
              </c:strCache>
            </c:strRef>
          </c:tx>
          <c:spPr>
            <a:solidFill>
              <a:srgbClr val="FF99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Results'!$B$229:$I$229</c:f>
              <c:strCache/>
            </c:strRef>
          </c:cat>
          <c:val>
            <c:numRef>
              <c:f>'Early SimaPro Results'!$B$231:$I$231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'Early SimaPro Results'!$A$232</c:f>
              <c:strCache>
                <c:ptCount val="1"/>
                <c:pt idx="0">
                  <c:v>HHISO Production</c:v>
                </c:pt>
              </c:strCache>
            </c:strRef>
          </c:tx>
          <c:spPr>
            <a:solidFill>
              <a:srgbClr val="FFCC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Results'!$B$229:$I$229</c:f>
              <c:strCache/>
            </c:strRef>
          </c:cat>
          <c:val>
            <c:numRef>
              <c:f>'Early SimaPro Results'!$B$232:$I$232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'Early SimaPro Results'!$A$233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DD080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Results'!$B$229:$I$229</c:f>
              <c:strCache/>
            </c:strRef>
          </c:cat>
          <c:val>
            <c:numRef>
              <c:f>'Early SimaPro Results'!$B$233:$I$233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'Early SimaPro Results'!$A$234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6600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Results'!$B$229:$I$229</c:f>
              <c:strCache/>
            </c:strRef>
          </c:cat>
          <c:val>
            <c:numRef>
              <c:f>'Early SimaPro Results'!$B$234:$I$234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'Early SimaPro Results'!$A$235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Results'!$B$229:$I$229</c:f>
              <c:strCache/>
            </c:strRef>
          </c:cat>
          <c:val>
            <c:numRef>
              <c:f>'Early SimaPro Results'!$B$235:$I$235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6"/>
          <c:order val="6"/>
          <c:tx>
            <c:strRef>
              <c:f>'Early SimaPro Results'!$A$236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Results'!$B$229:$I$229</c:f>
              <c:strCache/>
            </c:strRef>
          </c:cat>
          <c:val>
            <c:numRef>
              <c:f>'Early SimaPro Results'!$B$236:$I$236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7"/>
          <c:order val="7"/>
          <c:tx>
            <c:strRef>
              <c:f>'Early SimaPro Results'!$A$237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Results'!$B$229:$I$229</c:f>
              <c:strCache/>
            </c:strRef>
          </c:cat>
          <c:val>
            <c:numRef>
              <c:f>'Early SimaPro Results'!$B$237:$I$237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8"/>
          <c:order val="8"/>
          <c:tx>
            <c:strRef>
              <c:f>'Early SimaPro Results'!$A$238</c:f>
              <c:strCache>
                <c:ptCount val="1"/>
                <c:pt idx="0">
                  <c:v>Recycling  Avoided Metal</c:v>
                </c:pt>
              </c:strCache>
            </c:strRef>
          </c:tx>
          <c:spPr>
            <a:solidFill>
              <a:srgbClr val="3399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Results'!$B$229:$I$229</c:f>
              <c:strCache/>
            </c:strRef>
          </c:cat>
          <c:val>
            <c:numRef>
              <c:f>'Early SimaPro Results'!$B$238:$I$238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9"/>
          <c:order val="9"/>
          <c:tx>
            <c:strRef>
              <c:f>'Early SimaPro Results'!$A$239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FF8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Results'!$B$229:$I$229</c:f>
              <c:strCache/>
            </c:strRef>
          </c:cat>
          <c:val>
            <c:numRef>
              <c:f>'Early SimaPro Results'!$B$239:$I$239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'Early SimaPro Results'!$A$240</c:f>
              <c:strCache>
                <c:ptCount val="1"/>
                <c:pt idx="0">
                  <c:v>Grout</c:v>
                </c:pt>
              </c:strCache>
            </c:strRef>
          </c:tx>
          <c:spPr>
            <a:solidFill>
              <a:srgbClr val="CC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Results'!$B$229:$I$229</c:f>
              <c:strCache/>
            </c:strRef>
          </c:cat>
          <c:val>
            <c:numRef>
              <c:f>'Early SimaPro Results'!$B$240:$I$240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'Early SimaPro Results'!$A$241</c:f>
              <c:strCache>
                <c:ptCount val="1"/>
                <c:pt idx="0">
                  <c:v>Backfill</c:v>
                </c:pt>
              </c:strCache>
            </c:strRef>
          </c:tx>
          <c:spPr>
            <a:solidFill>
              <a:srgbClr val="9933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'Early SimaPro Results'!$B$229:$I$229</c:f>
              <c:strCache/>
            </c:strRef>
          </c:cat>
          <c:val>
            <c:numRef>
              <c:f>'Early SimaPro Results'!$B$241:$I$241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35113172"/>
        <c:axId val="47583093"/>
      </c:barChart>
      <c:catAx>
        <c:axId val="35113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Disposition Option</a:t>
                </a:r>
              </a:p>
            </c:rich>
          </c:tx>
          <c:layout>
            <c:manualLayout>
              <c:xMode val="factor"/>
              <c:yMode val="factor"/>
              <c:x val="-0.1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3093"/>
        <c:crosses val="autoZero"/>
        <c:auto val="1"/>
        <c:lblOffset val="100"/>
        <c:tickLblSkip val="1"/>
        <c:noMultiLvlLbl val="0"/>
      </c:catAx>
      <c:valAx>
        <c:axId val="47583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Eco Indicator 99 Score(Pt)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51131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875"/>
          <c:y val="0.013"/>
          <c:w val="0.6735"/>
          <c:h val="0.131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01"/>
          <c:w val="0.613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'Boiler Disposal&amp;Recycling'!$K$61</c:f>
              <c:strCache>
                <c:ptCount val="1"/>
                <c:pt idx="0">
                  <c:v>10 Boilers Disposed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'Boiler Disposal&amp;Recycling'!$L$61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'Boiler Disposal&amp;Recycling'!$K$62</c:f>
              <c:strCache>
                <c:ptCount val="1"/>
                <c:pt idx="0">
                  <c:v>10 Boilers Grouting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'Boiler Disposal&amp;Recycling'!$L$62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'Boiler Disposal&amp;Recycling'!$K$63</c:f>
              <c:strCache>
                <c:ptCount val="1"/>
                <c:pt idx="0">
                  <c:v>5 Recycled Boiler Residual Waste Disposed</c:v>
                </c:pt>
              </c:strCache>
            </c:strRef>
          </c:tx>
          <c:spPr>
            <a:solidFill>
              <a:srgbClr val="FF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'Boiler Disposal&amp;Recycling'!$L$63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'Boiler Disposal&amp;Recycling'!$K$64</c:f>
              <c:strCache>
                <c:ptCount val="1"/>
                <c:pt idx="0">
                  <c:v>5 Recycled Boiler Residual Waste Grouting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'Boiler Disposal&amp;Recycling'!$L$64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'Boiler Disposal&amp;Recycling'!$K$65</c:f>
              <c:strCache>
                <c:ptCount val="1"/>
                <c:pt idx="0">
                  <c:v>5 Recycled Boilers Steel Avoided</c:v>
                </c:pt>
              </c:strCache>
            </c:strRef>
          </c:tx>
          <c:spPr>
            <a:solidFill>
              <a:srgbClr val="6600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'Boiler Disposal&amp;Recycling'!$L$65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'Boiler Disposal&amp;Recycling'!$K$66</c:f>
              <c:strCache>
                <c:ptCount val="1"/>
                <c:pt idx="0">
                  <c:v>4m box material avoided</c:v>
                </c:pt>
              </c:strCache>
            </c:strRef>
          </c:tx>
          <c:spPr>
            <a:solidFill>
              <a:srgbClr val="FF8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'Boiler Disposal&amp;Recycling'!$L$66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'Boiler Disposal&amp;Recycling'!$K$67</c:f>
              <c:strCache>
                <c:ptCount val="1"/>
                <c:pt idx="0">
                  <c:v>4m box sheet production avoided</c:v>
                </c:pt>
              </c:strCache>
            </c:strRef>
          </c:tx>
          <c:spPr>
            <a:solidFill>
              <a:srgbClr val="0066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'Boiler Disposal&amp;Recycling'!$L$67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'Boiler Disposal&amp;Recycling'!$K$68</c:f>
              <c:strCache>
                <c:ptCount val="1"/>
                <c:pt idx="0">
                  <c:v>4m box sheet pressing avoided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'Boiler Disposal&amp;Recycling'!$L$68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'Boiler Disposal&amp;Recycling'!$K$69</c:f>
              <c:strCache>
                <c:ptCount val="1"/>
                <c:pt idx="0">
                  <c:v>4m box welding avoided</c:v>
                </c:pt>
              </c:strCache>
            </c:strRef>
          </c:tx>
          <c:spPr>
            <a:solidFill>
              <a:srgbClr val="00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'Boiler Disposal&amp;Recycling'!$L$69</c:f>
              <c:numCache>
                <c:ptCount val="1"/>
                <c:pt idx="0">
                  <c:v>0</c:v>
                </c:pt>
              </c:numCache>
            </c:numRef>
          </c:val>
        </c:ser>
        <c:axId val="30472668"/>
        <c:axId val="5818557"/>
      </c:barChart>
      <c:catAx>
        <c:axId val="30472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Materials and Production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8557"/>
        <c:crosses val="autoZero"/>
        <c:auto val="1"/>
        <c:lblOffset val="100"/>
        <c:tickLblSkip val="1"/>
        <c:noMultiLvlLbl val="0"/>
      </c:catAx>
      <c:valAx>
        <c:axId val="5818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Eco Indi cator (KPt)</a:t>
                </a:r>
              </a:p>
            </c:rich>
          </c:tx>
          <c:layout>
            <c:manualLayout>
              <c:xMode val="factor"/>
              <c:yMode val="factor"/>
              <c:x val="-0.02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726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25"/>
          <c:y val="0.255"/>
          <c:w val="0.37175"/>
          <c:h val="0.333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Radioactive Metal Environmental Load (2010 UKRWI)</a:t>
            </a:r>
          </a:p>
        </c:rich>
      </c:tx>
      <c:layout>
        <c:manualLayout>
          <c:xMode val="factor"/>
          <c:yMode val="factor"/>
          <c:x val="0.067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34975"/>
          <c:w val="0.9295"/>
          <c:h val="0.5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'All Wastes'!$H$80</c:f>
              <c:strCache>
                <c:ptCount val="1"/>
                <c:pt idx="0">
                  <c:v>Eco Indicator Value (KPt)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Wastes'!$G$81:$G$113</c:f>
              <c:strCache/>
            </c:strRef>
          </c:cat>
          <c:val>
            <c:numRef>
              <c:f>'All Wastes'!$H$81:$H$113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axId val="52367014"/>
        <c:axId val="1541079"/>
      </c:barChart>
      <c:catAx>
        <c:axId val="52367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Metal</a:t>
                </a:r>
              </a:p>
            </c:rich>
          </c:tx>
          <c:layout>
            <c:manualLayout>
              <c:xMode val="factor"/>
              <c:yMode val="factor"/>
              <c:x val="-0.13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1079"/>
        <c:crosses val="autoZero"/>
        <c:auto val="1"/>
        <c:lblOffset val="100"/>
        <c:tickLblSkip val="2"/>
        <c:noMultiLvlLbl val="0"/>
      </c:catAx>
      <c:valAx>
        <c:axId val="1541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Eco Indicator 99 (2000) (KPt)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23670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Metals Environmental Load to 2120</a:t>
            </a:r>
          </a:p>
        </c:rich>
      </c:tx>
      <c:layout>
        <c:manualLayout>
          <c:xMode val="factor"/>
          <c:yMode val="factor"/>
          <c:x val="-0.0227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368"/>
          <c:w val="0.9045"/>
          <c:h val="0.5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'All Wastes'!$J$80</c:f>
              <c:strCache>
                <c:ptCount val="1"/>
                <c:pt idx="0">
                  <c:v>Eco Indicator Value (KPt)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Wastes'!$I$81:$I$88</c:f>
              <c:strCache/>
            </c:strRef>
          </c:cat>
          <c:val>
            <c:numRef>
              <c:f>'All Wastes'!$J$81:$J$88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3869712"/>
        <c:axId val="57718545"/>
      </c:barChart>
      <c:catAx>
        <c:axId val="13869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Metal</a:t>
                </a:r>
              </a:p>
            </c:rich>
          </c:tx>
          <c:layout>
            <c:manualLayout>
              <c:xMode val="factor"/>
              <c:yMode val="factor"/>
              <c:x val="-0.069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18545"/>
        <c:crosses val="autoZero"/>
        <c:auto val="1"/>
        <c:lblOffset val="100"/>
        <c:tickLblSkip val="1"/>
        <c:noMultiLvlLbl val="0"/>
      </c:catAx>
      <c:valAx>
        <c:axId val="57718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Eco Indicator 99 (2000) (KPt)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38697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Load for ILW Packages (Steel &amp; Concrete Shielding, 2010 UKRWI) 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5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3435"/>
          <c:w val="0.92775"/>
          <c:h val="0.5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'All Wastes'!$I$12</c:f>
              <c:strCache>
                <c:ptCount val="1"/>
                <c:pt idx="0">
                  <c:v>Eco Indicator for Packages (KPt)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Wastes'!$H$13:$H$45</c:f>
              <c:strCache/>
            </c:strRef>
          </c:cat>
          <c:val>
            <c:numRef>
              <c:f>'All Wastes'!$I$13:$I$45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axId val="49704858"/>
        <c:axId val="44690539"/>
      </c:barChart>
      <c:catAx>
        <c:axId val="49704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Package Type</a:t>
                </a:r>
              </a:p>
            </c:rich>
          </c:tx>
          <c:layout>
            <c:manualLayout>
              <c:xMode val="factor"/>
              <c:yMode val="factor"/>
              <c:x val="-0.139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90539"/>
        <c:crosses val="autoZero"/>
        <c:auto val="1"/>
        <c:lblOffset val="100"/>
        <c:tickLblSkip val="2"/>
        <c:noMultiLvlLbl val="0"/>
      </c:catAx>
      <c:valAx>
        <c:axId val="44690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Eco Indicator 99 (2000) (KPt)</a:t>
                </a:r>
              </a:p>
            </c:rich>
          </c:tx>
          <c:layout>
            <c:manualLayout>
              <c:xMode val="factor"/>
              <c:yMode val="factor"/>
              <c:x val="-0.03975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97048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chart" Target="/xl/charts/chart30.xml" /><Relationship Id="rId5" Type="http://schemas.openxmlformats.org/officeDocument/2006/relationships/chart" Target="/xl/charts/chart31.xml" /><Relationship Id="rId6" Type="http://schemas.openxmlformats.org/officeDocument/2006/relationships/chart" Target="/xl/charts/chart32.xml" /><Relationship Id="rId7" Type="http://schemas.openxmlformats.org/officeDocument/2006/relationships/chart" Target="/xl/charts/chart33.xml" /><Relationship Id="rId8" Type="http://schemas.openxmlformats.org/officeDocument/2006/relationships/chart" Target="/xl/charts/chart34.xml" /><Relationship Id="rId9" Type="http://schemas.openxmlformats.org/officeDocument/2006/relationships/chart" Target="/xl/charts/chart35.xml" /><Relationship Id="rId10" Type="http://schemas.openxmlformats.org/officeDocument/2006/relationships/chart" Target="/xl/charts/chart36.xml" /><Relationship Id="rId11" Type="http://schemas.openxmlformats.org/officeDocument/2006/relationships/chart" Target="/xl/charts/chart37.xml" /><Relationship Id="rId12" Type="http://schemas.openxmlformats.org/officeDocument/2006/relationships/chart" Target="/xl/charts/chart38.xml" /><Relationship Id="rId13" Type="http://schemas.openxmlformats.org/officeDocument/2006/relationships/chart" Target="/xl/charts/chart39.xml" /><Relationship Id="rId14" Type="http://schemas.openxmlformats.org/officeDocument/2006/relationships/chart" Target="/xl/charts/chart40.xml" /><Relationship Id="rId15" Type="http://schemas.openxmlformats.org/officeDocument/2006/relationships/chart" Target="/xl/charts/chart41.xml" /><Relationship Id="rId16" Type="http://schemas.openxmlformats.org/officeDocument/2006/relationships/chart" Target="/xl/charts/chart42.xml" /><Relationship Id="rId17" Type="http://schemas.openxmlformats.org/officeDocument/2006/relationships/chart" Target="/xl/charts/chart43.xml" /><Relationship Id="rId18" Type="http://schemas.openxmlformats.org/officeDocument/2006/relationships/chart" Target="/xl/charts/chart44.xml" /><Relationship Id="rId19" Type="http://schemas.openxmlformats.org/officeDocument/2006/relationships/chart" Target="/xl/charts/chart45.xml" /><Relationship Id="rId20" Type="http://schemas.openxmlformats.org/officeDocument/2006/relationships/chart" Target="/xl/charts/chart46.xml" /><Relationship Id="rId21" Type="http://schemas.openxmlformats.org/officeDocument/2006/relationships/chart" Target="/xl/charts/chart47.xml" /><Relationship Id="rId22" Type="http://schemas.openxmlformats.org/officeDocument/2006/relationships/chart" Target="/xl/charts/chart48.xml" /><Relationship Id="rId23" Type="http://schemas.openxmlformats.org/officeDocument/2006/relationships/chart" Target="/xl/charts/chart49.xml" /><Relationship Id="rId24" Type="http://schemas.openxmlformats.org/officeDocument/2006/relationships/chart" Target="/xl/charts/chart5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581025</xdr:colOff>
      <xdr:row>7</xdr:row>
      <xdr:rowOff>0</xdr:rowOff>
    </xdr:from>
    <xdr:to>
      <xdr:col>22</xdr:col>
      <xdr:colOff>476250</xdr:colOff>
      <xdr:row>15</xdr:row>
      <xdr:rowOff>85725</xdr:rowOff>
    </xdr:to>
    <xdr:graphicFrame>
      <xdr:nvGraphicFramePr>
        <xdr:cNvPr id="1" name="Chart 1"/>
        <xdr:cNvGraphicFramePr/>
      </xdr:nvGraphicFramePr>
      <xdr:xfrm>
        <a:off x="16687800" y="2257425"/>
        <a:ext cx="58007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9525</xdr:colOff>
      <xdr:row>21</xdr:row>
      <xdr:rowOff>0</xdr:rowOff>
    </xdr:from>
    <xdr:to>
      <xdr:col>22</xdr:col>
      <xdr:colOff>485775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16706850" y="7696200"/>
        <a:ext cx="57912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37</xdr:row>
      <xdr:rowOff>152400</xdr:rowOff>
    </xdr:from>
    <xdr:to>
      <xdr:col>22</xdr:col>
      <xdr:colOff>485775</xdr:colOff>
      <xdr:row>50</xdr:row>
      <xdr:rowOff>161925</xdr:rowOff>
    </xdr:to>
    <xdr:graphicFrame>
      <xdr:nvGraphicFramePr>
        <xdr:cNvPr id="3" name="Chart 3"/>
        <xdr:cNvGraphicFramePr/>
      </xdr:nvGraphicFramePr>
      <xdr:xfrm>
        <a:off x="16697325" y="13382625"/>
        <a:ext cx="58007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9525</xdr:colOff>
      <xdr:row>73</xdr:row>
      <xdr:rowOff>9525</xdr:rowOff>
    </xdr:from>
    <xdr:to>
      <xdr:col>22</xdr:col>
      <xdr:colOff>485775</xdr:colOff>
      <xdr:row>81</xdr:row>
      <xdr:rowOff>152400</xdr:rowOff>
    </xdr:to>
    <xdr:graphicFrame>
      <xdr:nvGraphicFramePr>
        <xdr:cNvPr id="4" name="Chart 5"/>
        <xdr:cNvGraphicFramePr/>
      </xdr:nvGraphicFramePr>
      <xdr:xfrm>
        <a:off x="16706850" y="22498050"/>
        <a:ext cx="5791200" cy="3876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9525</xdr:colOff>
      <xdr:row>58</xdr:row>
      <xdr:rowOff>133350</xdr:rowOff>
    </xdr:from>
    <xdr:to>
      <xdr:col>22</xdr:col>
      <xdr:colOff>485775</xdr:colOff>
      <xdr:row>70</xdr:row>
      <xdr:rowOff>104775</xdr:rowOff>
    </xdr:to>
    <xdr:graphicFrame>
      <xdr:nvGraphicFramePr>
        <xdr:cNvPr id="5" name="Chart 6"/>
        <xdr:cNvGraphicFramePr/>
      </xdr:nvGraphicFramePr>
      <xdr:xfrm>
        <a:off x="16706850" y="18230850"/>
        <a:ext cx="5791200" cy="3876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104775</xdr:colOff>
      <xdr:row>58</xdr:row>
      <xdr:rowOff>152400</xdr:rowOff>
    </xdr:from>
    <xdr:to>
      <xdr:col>33</xdr:col>
      <xdr:colOff>0</xdr:colOff>
      <xdr:row>70</xdr:row>
      <xdr:rowOff>104775</xdr:rowOff>
    </xdr:to>
    <xdr:graphicFrame>
      <xdr:nvGraphicFramePr>
        <xdr:cNvPr id="6" name="Chart 32"/>
        <xdr:cNvGraphicFramePr/>
      </xdr:nvGraphicFramePr>
      <xdr:xfrm>
        <a:off x="22707600" y="18249900"/>
        <a:ext cx="5800725" cy="3857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75</xdr:row>
      <xdr:rowOff>47625</xdr:rowOff>
    </xdr:from>
    <xdr:to>
      <xdr:col>17</xdr:col>
      <xdr:colOff>676275</xdr:colOff>
      <xdr:row>89</xdr:row>
      <xdr:rowOff>152400</xdr:rowOff>
    </xdr:to>
    <xdr:graphicFrame>
      <xdr:nvGraphicFramePr>
        <xdr:cNvPr id="1" name="Chart 2"/>
        <xdr:cNvGraphicFramePr/>
      </xdr:nvGraphicFramePr>
      <xdr:xfrm>
        <a:off x="9696450" y="18192750"/>
        <a:ext cx="58483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161925</xdr:colOff>
      <xdr:row>90</xdr:row>
      <xdr:rowOff>104775</xdr:rowOff>
    </xdr:from>
    <xdr:to>
      <xdr:col>16</xdr:col>
      <xdr:colOff>47625</xdr:colOff>
      <xdr:row>105</xdr:row>
      <xdr:rowOff>381000</xdr:rowOff>
    </xdr:to>
    <xdr:graphicFrame>
      <xdr:nvGraphicFramePr>
        <xdr:cNvPr id="2" name="Chart 3"/>
        <xdr:cNvGraphicFramePr/>
      </xdr:nvGraphicFramePr>
      <xdr:xfrm>
        <a:off x="9696450" y="21612225"/>
        <a:ext cx="44577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295275</xdr:colOff>
      <xdr:row>8</xdr:row>
      <xdr:rowOff>9525</xdr:rowOff>
    </xdr:from>
    <xdr:to>
      <xdr:col>16</xdr:col>
      <xdr:colOff>600075</xdr:colOff>
      <xdr:row>26</xdr:row>
      <xdr:rowOff>104775</xdr:rowOff>
    </xdr:to>
    <xdr:graphicFrame>
      <xdr:nvGraphicFramePr>
        <xdr:cNvPr id="3" name="Chart 4"/>
        <xdr:cNvGraphicFramePr/>
      </xdr:nvGraphicFramePr>
      <xdr:xfrm>
        <a:off x="9001125" y="2114550"/>
        <a:ext cx="5705475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323850</xdr:colOff>
      <xdr:row>27</xdr:row>
      <xdr:rowOff>38100</xdr:rowOff>
    </xdr:from>
    <xdr:to>
      <xdr:col>16</xdr:col>
      <xdr:colOff>628650</xdr:colOff>
      <xdr:row>48</xdr:row>
      <xdr:rowOff>0</xdr:rowOff>
    </xdr:to>
    <xdr:graphicFrame>
      <xdr:nvGraphicFramePr>
        <xdr:cNvPr id="4" name="Chart 5"/>
        <xdr:cNvGraphicFramePr/>
      </xdr:nvGraphicFramePr>
      <xdr:xfrm>
        <a:off x="9029700" y="5819775"/>
        <a:ext cx="5705475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323850</xdr:colOff>
      <xdr:row>48</xdr:row>
      <xdr:rowOff>152400</xdr:rowOff>
    </xdr:from>
    <xdr:to>
      <xdr:col>16</xdr:col>
      <xdr:colOff>600075</xdr:colOff>
      <xdr:row>63</xdr:row>
      <xdr:rowOff>361950</xdr:rowOff>
    </xdr:to>
    <xdr:graphicFrame>
      <xdr:nvGraphicFramePr>
        <xdr:cNvPr id="5" name="Chart 6"/>
        <xdr:cNvGraphicFramePr/>
      </xdr:nvGraphicFramePr>
      <xdr:xfrm>
        <a:off x="9029700" y="10010775"/>
        <a:ext cx="56769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47625</xdr:colOff>
      <xdr:row>115</xdr:row>
      <xdr:rowOff>28575</xdr:rowOff>
    </xdr:from>
    <xdr:to>
      <xdr:col>16</xdr:col>
      <xdr:colOff>152400</xdr:colOff>
      <xdr:row>127</xdr:row>
      <xdr:rowOff>57150</xdr:rowOff>
    </xdr:to>
    <xdr:graphicFrame>
      <xdr:nvGraphicFramePr>
        <xdr:cNvPr id="6" name="Chart 82"/>
        <xdr:cNvGraphicFramePr/>
      </xdr:nvGraphicFramePr>
      <xdr:xfrm>
        <a:off x="9582150" y="26393775"/>
        <a:ext cx="4676775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352425</xdr:colOff>
      <xdr:row>115</xdr:row>
      <xdr:rowOff>28575</xdr:rowOff>
    </xdr:from>
    <xdr:to>
      <xdr:col>20</xdr:col>
      <xdr:colOff>704850</xdr:colOff>
      <xdr:row>127</xdr:row>
      <xdr:rowOff>28575</xdr:rowOff>
    </xdr:to>
    <xdr:graphicFrame>
      <xdr:nvGraphicFramePr>
        <xdr:cNvPr id="7" name="Chart 83"/>
        <xdr:cNvGraphicFramePr/>
      </xdr:nvGraphicFramePr>
      <xdr:xfrm>
        <a:off x="14458950" y="26393775"/>
        <a:ext cx="3400425" cy="2428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85725</xdr:colOff>
      <xdr:row>128</xdr:row>
      <xdr:rowOff>28575</xdr:rowOff>
    </xdr:from>
    <xdr:to>
      <xdr:col>16</xdr:col>
      <xdr:colOff>114300</xdr:colOff>
      <xdr:row>143</xdr:row>
      <xdr:rowOff>28575</xdr:rowOff>
    </xdr:to>
    <xdr:graphicFrame>
      <xdr:nvGraphicFramePr>
        <xdr:cNvPr id="8" name="Chart 84"/>
        <xdr:cNvGraphicFramePr/>
      </xdr:nvGraphicFramePr>
      <xdr:xfrm>
        <a:off x="9620250" y="28984575"/>
        <a:ext cx="4600575" cy="2943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361950</xdr:colOff>
      <xdr:row>128</xdr:row>
      <xdr:rowOff>9525</xdr:rowOff>
    </xdr:from>
    <xdr:to>
      <xdr:col>21</xdr:col>
      <xdr:colOff>390525</xdr:colOff>
      <xdr:row>142</xdr:row>
      <xdr:rowOff>104775</xdr:rowOff>
    </xdr:to>
    <xdr:graphicFrame>
      <xdr:nvGraphicFramePr>
        <xdr:cNvPr id="9" name="Chart 85"/>
        <xdr:cNvGraphicFramePr/>
      </xdr:nvGraphicFramePr>
      <xdr:xfrm>
        <a:off x="14468475" y="28965525"/>
        <a:ext cx="3838575" cy="2876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66675</xdr:colOff>
      <xdr:row>161</xdr:row>
      <xdr:rowOff>28575</xdr:rowOff>
    </xdr:from>
    <xdr:to>
      <xdr:col>16</xdr:col>
      <xdr:colOff>123825</xdr:colOff>
      <xdr:row>177</xdr:row>
      <xdr:rowOff>95250</xdr:rowOff>
    </xdr:to>
    <xdr:graphicFrame>
      <xdr:nvGraphicFramePr>
        <xdr:cNvPr id="10" name="Chart 86"/>
        <xdr:cNvGraphicFramePr/>
      </xdr:nvGraphicFramePr>
      <xdr:xfrm>
        <a:off x="9601200" y="35166300"/>
        <a:ext cx="4629150" cy="3143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314325</xdr:colOff>
      <xdr:row>161</xdr:row>
      <xdr:rowOff>57150</xdr:rowOff>
    </xdr:from>
    <xdr:to>
      <xdr:col>21</xdr:col>
      <xdr:colOff>600075</xdr:colOff>
      <xdr:row>177</xdr:row>
      <xdr:rowOff>85725</xdr:rowOff>
    </xdr:to>
    <xdr:graphicFrame>
      <xdr:nvGraphicFramePr>
        <xdr:cNvPr id="11" name="Chart 87"/>
        <xdr:cNvGraphicFramePr/>
      </xdr:nvGraphicFramePr>
      <xdr:xfrm>
        <a:off x="14420850" y="35194875"/>
        <a:ext cx="4095750" cy="3105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66675</xdr:colOff>
      <xdr:row>178</xdr:row>
      <xdr:rowOff>85725</xdr:rowOff>
    </xdr:from>
    <xdr:to>
      <xdr:col>16</xdr:col>
      <xdr:colOff>142875</xdr:colOff>
      <xdr:row>194</xdr:row>
      <xdr:rowOff>9525</xdr:rowOff>
    </xdr:to>
    <xdr:graphicFrame>
      <xdr:nvGraphicFramePr>
        <xdr:cNvPr id="12" name="Chart 88"/>
        <xdr:cNvGraphicFramePr/>
      </xdr:nvGraphicFramePr>
      <xdr:xfrm>
        <a:off x="9601200" y="38461950"/>
        <a:ext cx="4648200" cy="3162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16</xdr:col>
      <xdr:colOff>333375</xdr:colOff>
      <xdr:row>178</xdr:row>
      <xdr:rowOff>104775</xdr:rowOff>
    </xdr:from>
    <xdr:to>
      <xdr:col>21</xdr:col>
      <xdr:colOff>704850</xdr:colOff>
      <xdr:row>193</xdr:row>
      <xdr:rowOff>95250</xdr:rowOff>
    </xdr:to>
    <xdr:graphicFrame>
      <xdr:nvGraphicFramePr>
        <xdr:cNvPr id="13" name="Chart 89"/>
        <xdr:cNvGraphicFramePr/>
      </xdr:nvGraphicFramePr>
      <xdr:xfrm>
        <a:off x="14439900" y="38481000"/>
        <a:ext cx="4181475" cy="3067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200025</xdr:colOff>
      <xdr:row>206</xdr:row>
      <xdr:rowOff>9525</xdr:rowOff>
    </xdr:from>
    <xdr:to>
      <xdr:col>15</xdr:col>
      <xdr:colOff>142875</xdr:colOff>
      <xdr:row>216</xdr:row>
      <xdr:rowOff>0</xdr:rowOff>
    </xdr:to>
    <xdr:graphicFrame>
      <xdr:nvGraphicFramePr>
        <xdr:cNvPr id="14" name="Chart 90"/>
        <xdr:cNvGraphicFramePr/>
      </xdr:nvGraphicFramePr>
      <xdr:xfrm>
        <a:off x="9734550" y="43891200"/>
        <a:ext cx="3752850" cy="2095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228600</xdr:colOff>
      <xdr:row>216</xdr:row>
      <xdr:rowOff>152400</xdr:rowOff>
    </xdr:from>
    <xdr:to>
      <xdr:col>15</xdr:col>
      <xdr:colOff>123825</xdr:colOff>
      <xdr:row>226</xdr:row>
      <xdr:rowOff>104775</xdr:rowOff>
    </xdr:to>
    <xdr:graphicFrame>
      <xdr:nvGraphicFramePr>
        <xdr:cNvPr id="15" name="Chart 91"/>
        <xdr:cNvGraphicFramePr/>
      </xdr:nvGraphicFramePr>
      <xdr:xfrm>
        <a:off x="9763125" y="46139100"/>
        <a:ext cx="3705225" cy="2057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12</xdr:row>
      <xdr:rowOff>0</xdr:rowOff>
    </xdr:from>
    <xdr:to>
      <xdr:col>17</xdr:col>
      <xdr:colOff>695325</xdr:colOff>
      <xdr:row>33</xdr:row>
      <xdr:rowOff>152400</xdr:rowOff>
    </xdr:to>
    <xdr:graphicFrame>
      <xdr:nvGraphicFramePr>
        <xdr:cNvPr id="1" name="Chart 2"/>
        <xdr:cNvGraphicFramePr/>
      </xdr:nvGraphicFramePr>
      <xdr:xfrm>
        <a:off x="10448925" y="3581400"/>
        <a:ext cx="58007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238125</xdr:colOff>
      <xdr:row>34</xdr:row>
      <xdr:rowOff>47625</xdr:rowOff>
    </xdr:from>
    <xdr:to>
      <xdr:col>17</xdr:col>
      <xdr:colOff>714375</xdr:colOff>
      <xdr:row>57</xdr:row>
      <xdr:rowOff>28575</xdr:rowOff>
    </xdr:to>
    <xdr:graphicFrame>
      <xdr:nvGraphicFramePr>
        <xdr:cNvPr id="2" name="Chart 3"/>
        <xdr:cNvGraphicFramePr/>
      </xdr:nvGraphicFramePr>
      <xdr:xfrm>
        <a:off x="10458450" y="7534275"/>
        <a:ext cx="581025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428625</xdr:colOff>
      <xdr:row>57</xdr:row>
      <xdr:rowOff>85725</xdr:rowOff>
    </xdr:from>
    <xdr:to>
      <xdr:col>18</xdr:col>
      <xdr:colOff>133350</xdr:colOff>
      <xdr:row>72</xdr:row>
      <xdr:rowOff>85725</xdr:rowOff>
    </xdr:to>
    <xdr:graphicFrame>
      <xdr:nvGraphicFramePr>
        <xdr:cNvPr id="3" name="Chart 4"/>
        <xdr:cNvGraphicFramePr/>
      </xdr:nvGraphicFramePr>
      <xdr:xfrm>
        <a:off x="10648950" y="11468100"/>
        <a:ext cx="5800725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85</xdr:row>
      <xdr:rowOff>9525</xdr:rowOff>
    </xdr:from>
    <xdr:to>
      <xdr:col>16</xdr:col>
      <xdr:colOff>85725</xdr:colOff>
      <xdr:row>109</xdr:row>
      <xdr:rowOff>9525</xdr:rowOff>
    </xdr:to>
    <xdr:graphicFrame>
      <xdr:nvGraphicFramePr>
        <xdr:cNvPr id="1" name="Chart 3"/>
        <xdr:cNvGraphicFramePr/>
      </xdr:nvGraphicFramePr>
      <xdr:xfrm>
        <a:off x="6305550" y="16249650"/>
        <a:ext cx="66008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60</xdr:row>
      <xdr:rowOff>9525</xdr:rowOff>
    </xdr:from>
    <xdr:to>
      <xdr:col>20</xdr:col>
      <xdr:colOff>38100</xdr:colOff>
      <xdr:row>83</xdr:row>
      <xdr:rowOff>95250</xdr:rowOff>
    </xdr:to>
    <xdr:graphicFrame>
      <xdr:nvGraphicFramePr>
        <xdr:cNvPr id="2" name="Chart 4"/>
        <xdr:cNvGraphicFramePr/>
      </xdr:nvGraphicFramePr>
      <xdr:xfrm>
        <a:off x="8743950" y="11877675"/>
        <a:ext cx="64770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0</xdr:row>
      <xdr:rowOff>0</xdr:rowOff>
    </xdr:from>
    <xdr:to>
      <xdr:col>17</xdr:col>
      <xdr:colOff>495300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8505825" y="0"/>
        <a:ext cx="39338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0</xdr:row>
      <xdr:rowOff>9525</xdr:rowOff>
    </xdr:from>
    <xdr:to>
      <xdr:col>24</xdr:col>
      <xdr:colOff>419100</xdr:colOff>
      <xdr:row>16</xdr:row>
      <xdr:rowOff>9525</xdr:rowOff>
    </xdr:to>
    <xdr:graphicFrame>
      <xdr:nvGraphicFramePr>
        <xdr:cNvPr id="2" name="Chart 2"/>
        <xdr:cNvGraphicFramePr/>
      </xdr:nvGraphicFramePr>
      <xdr:xfrm>
        <a:off x="12544425" y="9525"/>
        <a:ext cx="40386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114300</xdr:colOff>
      <xdr:row>40</xdr:row>
      <xdr:rowOff>104775</xdr:rowOff>
    </xdr:from>
    <xdr:to>
      <xdr:col>20</xdr:col>
      <xdr:colOff>581025</xdr:colOff>
      <xdr:row>57</xdr:row>
      <xdr:rowOff>133350</xdr:rowOff>
    </xdr:to>
    <xdr:graphicFrame>
      <xdr:nvGraphicFramePr>
        <xdr:cNvPr id="3" name="Chart 23"/>
        <xdr:cNvGraphicFramePr/>
      </xdr:nvGraphicFramePr>
      <xdr:xfrm>
        <a:off x="8515350" y="6581775"/>
        <a:ext cx="586740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190500</xdr:colOff>
      <xdr:row>40</xdr:row>
      <xdr:rowOff>66675</xdr:rowOff>
    </xdr:from>
    <xdr:to>
      <xdr:col>34</xdr:col>
      <xdr:colOff>66675</xdr:colOff>
      <xdr:row>53</xdr:row>
      <xdr:rowOff>85725</xdr:rowOff>
    </xdr:to>
    <xdr:graphicFrame>
      <xdr:nvGraphicFramePr>
        <xdr:cNvPr id="4" name="Chart 25"/>
        <xdr:cNvGraphicFramePr/>
      </xdr:nvGraphicFramePr>
      <xdr:xfrm>
        <a:off x="17535525" y="6543675"/>
        <a:ext cx="4600575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171450</xdr:colOff>
      <xdr:row>54</xdr:row>
      <xdr:rowOff>123825</xdr:rowOff>
    </xdr:from>
    <xdr:to>
      <xdr:col>34</xdr:col>
      <xdr:colOff>114300</xdr:colOff>
      <xdr:row>67</xdr:row>
      <xdr:rowOff>95250</xdr:rowOff>
    </xdr:to>
    <xdr:graphicFrame>
      <xdr:nvGraphicFramePr>
        <xdr:cNvPr id="5" name="Chart 26"/>
        <xdr:cNvGraphicFramePr/>
      </xdr:nvGraphicFramePr>
      <xdr:xfrm>
        <a:off x="17516475" y="9029700"/>
        <a:ext cx="4667250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142875</xdr:colOff>
      <xdr:row>68</xdr:row>
      <xdr:rowOff>28575</xdr:rowOff>
    </xdr:from>
    <xdr:to>
      <xdr:col>34</xdr:col>
      <xdr:colOff>171450</xdr:colOff>
      <xdr:row>82</xdr:row>
      <xdr:rowOff>57150</xdr:rowOff>
    </xdr:to>
    <xdr:graphicFrame>
      <xdr:nvGraphicFramePr>
        <xdr:cNvPr id="6" name="Chart 27"/>
        <xdr:cNvGraphicFramePr/>
      </xdr:nvGraphicFramePr>
      <xdr:xfrm>
        <a:off x="17487900" y="11363325"/>
        <a:ext cx="4752975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26</xdr:col>
      <xdr:colOff>190500</xdr:colOff>
      <xdr:row>84</xdr:row>
      <xdr:rowOff>104775</xdr:rowOff>
    </xdr:from>
    <xdr:to>
      <xdr:col>34</xdr:col>
      <xdr:colOff>190500</xdr:colOff>
      <xdr:row>100</xdr:row>
      <xdr:rowOff>9525</xdr:rowOff>
    </xdr:to>
    <xdr:graphicFrame>
      <xdr:nvGraphicFramePr>
        <xdr:cNvPr id="7" name="Chart 28"/>
        <xdr:cNvGraphicFramePr/>
      </xdr:nvGraphicFramePr>
      <xdr:xfrm>
        <a:off x="17535525" y="14192250"/>
        <a:ext cx="4724400" cy="2657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76200</xdr:colOff>
      <xdr:row>64</xdr:row>
      <xdr:rowOff>0</xdr:rowOff>
    </xdr:from>
    <xdr:to>
      <xdr:col>20</xdr:col>
      <xdr:colOff>152400</xdr:colOff>
      <xdr:row>81</xdr:row>
      <xdr:rowOff>133350</xdr:rowOff>
    </xdr:to>
    <xdr:graphicFrame>
      <xdr:nvGraphicFramePr>
        <xdr:cNvPr id="8" name="Chart 29"/>
        <xdr:cNvGraphicFramePr/>
      </xdr:nvGraphicFramePr>
      <xdr:xfrm>
        <a:off x="8477250" y="10525125"/>
        <a:ext cx="5476875" cy="3209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371475</xdr:colOff>
      <xdr:row>83</xdr:row>
      <xdr:rowOff>66675</xdr:rowOff>
    </xdr:from>
    <xdr:to>
      <xdr:col>20</xdr:col>
      <xdr:colOff>400050</xdr:colOff>
      <xdr:row>100</xdr:row>
      <xdr:rowOff>66675</xdr:rowOff>
    </xdr:to>
    <xdr:graphicFrame>
      <xdr:nvGraphicFramePr>
        <xdr:cNvPr id="9" name="Chart 30"/>
        <xdr:cNvGraphicFramePr/>
      </xdr:nvGraphicFramePr>
      <xdr:xfrm>
        <a:off x="8772525" y="13992225"/>
        <a:ext cx="5429250" cy="2914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123825</xdr:colOff>
      <xdr:row>16</xdr:row>
      <xdr:rowOff>95250</xdr:rowOff>
    </xdr:from>
    <xdr:to>
      <xdr:col>20</xdr:col>
      <xdr:colOff>104775</xdr:colOff>
      <xdr:row>32</xdr:row>
      <xdr:rowOff>104775</xdr:rowOff>
    </xdr:to>
    <xdr:graphicFrame>
      <xdr:nvGraphicFramePr>
        <xdr:cNvPr id="10" name="Chart 32"/>
        <xdr:cNvGraphicFramePr/>
      </xdr:nvGraphicFramePr>
      <xdr:xfrm>
        <a:off x="8524875" y="2686050"/>
        <a:ext cx="5381625" cy="2600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26</xdr:col>
      <xdr:colOff>66675</xdr:colOff>
      <xdr:row>0</xdr:row>
      <xdr:rowOff>28575</xdr:rowOff>
    </xdr:from>
    <xdr:to>
      <xdr:col>34</xdr:col>
      <xdr:colOff>447675</xdr:colOff>
      <xdr:row>18</xdr:row>
      <xdr:rowOff>152400</xdr:rowOff>
    </xdr:to>
    <xdr:graphicFrame>
      <xdr:nvGraphicFramePr>
        <xdr:cNvPr id="11" name="Chart 33"/>
        <xdr:cNvGraphicFramePr/>
      </xdr:nvGraphicFramePr>
      <xdr:xfrm>
        <a:off x="17411700" y="28575"/>
        <a:ext cx="5105400" cy="3038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26</xdr:col>
      <xdr:colOff>47625</xdr:colOff>
      <xdr:row>20</xdr:row>
      <xdr:rowOff>57150</xdr:rowOff>
    </xdr:from>
    <xdr:to>
      <xdr:col>34</xdr:col>
      <xdr:colOff>466725</xdr:colOff>
      <xdr:row>39</xdr:row>
      <xdr:rowOff>28575</xdr:rowOff>
    </xdr:to>
    <xdr:graphicFrame>
      <xdr:nvGraphicFramePr>
        <xdr:cNvPr id="12" name="Chart 34"/>
        <xdr:cNvGraphicFramePr/>
      </xdr:nvGraphicFramePr>
      <xdr:xfrm>
        <a:off x="17392650" y="3295650"/>
        <a:ext cx="5143500" cy="3048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323850</xdr:colOff>
      <xdr:row>101</xdr:row>
      <xdr:rowOff>57150</xdr:rowOff>
    </xdr:from>
    <xdr:to>
      <xdr:col>20</xdr:col>
      <xdr:colOff>371475</xdr:colOff>
      <xdr:row>116</xdr:row>
      <xdr:rowOff>0</xdr:rowOff>
    </xdr:to>
    <xdr:graphicFrame>
      <xdr:nvGraphicFramePr>
        <xdr:cNvPr id="13" name="Chart 35"/>
        <xdr:cNvGraphicFramePr/>
      </xdr:nvGraphicFramePr>
      <xdr:xfrm>
        <a:off x="8724900" y="17059275"/>
        <a:ext cx="5448300" cy="2533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333375</xdr:colOff>
      <xdr:row>116</xdr:row>
      <xdr:rowOff>66675</xdr:rowOff>
    </xdr:from>
    <xdr:to>
      <xdr:col>20</xdr:col>
      <xdr:colOff>371475</xdr:colOff>
      <xdr:row>131</xdr:row>
      <xdr:rowOff>57150</xdr:rowOff>
    </xdr:to>
    <xdr:graphicFrame>
      <xdr:nvGraphicFramePr>
        <xdr:cNvPr id="14" name="Chart 36"/>
        <xdr:cNvGraphicFramePr/>
      </xdr:nvGraphicFramePr>
      <xdr:xfrm>
        <a:off x="8734425" y="19659600"/>
        <a:ext cx="5438775" cy="25812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23</xdr:col>
      <xdr:colOff>66675</xdr:colOff>
      <xdr:row>115</xdr:row>
      <xdr:rowOff>57150</xdr:rowOff>
    </xdr:from>
    <xdr:to>
      <xdr:col>30</xdr:col>
      <xdr:colOff>571500</xdr:colOff>
      <xdr:row>130</xdr:row>
      <xdr:rowOff>28575</xdr:rowOff>
    </xdr:to>
    <xdr:graphicFrame>
      <xdr:nvGraphicFramePr>
        <xdr:cNvPr id="15" name="Chart 37"/>
        <xdr:cNvGraphicFramePr/>
      </xdr:nvGraphicFramePr>
      <xdr:xfrm>
        <a:off x="15640050" y="19488150"/>
        <a:ext cx="4638675" cy="2562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31</xdr:col>
      <xdr:colOff>57150</xdr:colOff>
      <xdr:row>115</xdr:row>
      <xdr:rowOff>57150</xdr:rowOff>
    </xdr:from>
    <xdr:to>
      <xdr:col>39</xdr:col>
      <xdr:colOff>0</xdr:colOff>
      <xdr:row>129</xdr:row>
      <xdr:rowOff>9525</xdr:rowOff>
    </xdr:to>
    <xdr:graphicFrame>
      <xdr:nvGraphicFramePr>
        <xdr:cNvPr id="16" name="Chart 38"/>
        <xdr:cNvGraphicFramePr/>
      </xdr:nvGraphicFramePr>
      <xdr:xfrm>
        <a:off x="20354925" y="19488150"/>
        <a:ext cx="4667250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23</xdr:col>
      <xdr:colOff>85725</xdr:colOff>
      <xdr:row>101</xdr:row>
      <xdr:rowOff>57150</xdr:rowOff>
    </xdr:from>
    <xdr:to>
      <xdr:col>30</xdr:col>
      <xdr:colOff>552450</xdr:colOff>
      <xdr:row>114</xdr:row>
      <xdr:rowOff>57150</xdr:rowOff>
    </xdr:to>
    <xdr:graphicFrame>
      <xdr:nvGraphicFramePr>
        <xdr:cNvPr id="17" name="Chart 39"/>
        <xdr:cNvGraphicFramePr/>
      </xdr:nvGraphicFramePr>
      <xdr:xfrm>
        <a:off x="15659100" y="17059275"/>
        <a:ext cx="4600575" cy="2266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31</xdr:col>
      <xdr:colOff>19050</xdr:colOff>
      <xdr:row>101</xdr:row>
      <xdr:rowOff>57150</xdr:rowOff>
    </xdr:from>
    <xdr:to>
      <xdr:col>39</xdr:col>
      <xdr:colOff>38100</xdr:colOff>
      <xdr:row>114</xdr:row>
      <xdr:rowOff>66675</xdr:rowOff>
    </xdr:to>
    <xdr:graphicFrame>
      <xdr:nvGraphicFramePr>
        <xdr:cNvPr id="18" name="Chart 40"/>
        <xdr:cNvGraphicFramePr/>
      </xdr:nvGraphicFramePr>
      <xdr:xfrm>
        <a:off x="20316825" y="17059275"/>
        <a:ext cx="4743450" cy="22764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11</xdr:col>
      <xdr:colOff>381000</xdr:colOff>
      <xdr:row>132</xdr:row>
      <xdr:rowOff>9525</xdr:rowOff>
    </xdr:from>
    <xdr:to>
      <xdr:col>20</xdr:col>
      <xdr:colOff>390525</xdr:colOff>
      <xdr:row>141</xdr:row>
      <xdr:rowOff>257175</xdr:rowOff>
    </xdr:to>
    <xdr:graphicFrame>
      <xdr:nvGraphicFramePr>
        <xdr:cNvPr id="19" name="Chart 41"/>
        <xdr:cNvGraphicFramePr/>
      </xdr:nvGraphicFramePr>
      <xdr:xfrm>
        <a:off x="8782050" y="22355175"/>
        <a:ext cx="5410200" cy="30003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11</xdr:col>
      <xdr:colOff>66675</xdr:colOff>
      <xdr:row>161</xdr:row>
      <xdr:rowOff>57150</xdr:rowOff>
    </xdr:from>
    <xdr:to>
      <xdr:col>20</xdr:col>
      <xdr:colOff>304800</xdr:colOff>
      <xdr:row>174</xdr:row>
      <xdr:rowOff>95250</xdr:rowOff>
    </xdr:to>
    <xdr:graphicFrame>
      <xdr:nvGraphicFramePr>
        <xdr:cNvPr id="20" name="Chart 42"/>
        <xdr:cNvGraphicFramePr/>
      </xdr:nvGraphicFramePr>
      <xdr:xfrm>
        <a:off x="8467725" y="28927425"/>
        <a:ext cx="5638800" cy="26289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11</xdr:col>
      <xdr:colOff>85725</xdr:colOff>
      <xdr:row>176</xdr:row>
      <xdr:rowOff>0</xdr:rowOff>
    </xdr:from>
    <xdr:to>
      <xdr:col>20</xdr:col>
      <xdr:colOff>323850</xdr:colOff>
      <xdr:row>192</xdr:row>
      <xdr:rowOff>9525</xdr:rowOff>
    </xdr:to>
    <xdr:graphicFrame>
      <xdr:nvGraphicFramePr>
        <xdr:cNvPr id="21" name="Chart 43"/>
        <xdr:cNvGraphicFramePr/>
      </xdr:nvGraphicFramePr>
      <xdr:xfrm>
        <a:off x="8486775" y="31784925"/>
        <a:ext cx="5638800" cy="34099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11</xdr:col>
      <xdr:colOff>47625</xdr:colOff>
      <xdr:row>197</xdr:row>
      <xdr:rowOff>0</xdr:rowOff>
    </xdr:from>
    <xdr:to>
      <xdr:col>20</xdr:col>
      <xdr:colOff>323850</xdr:colOff>
      <xdr:row>211</xdr:row>
      <xdr:rowOff>0</xdr:rowOff>
    </xdr:to>
    <xdr:graphicFrame>
      <xdr:nvGraphicFramePr>
        <xdr:cNvPr id="22" name="Chart 44"/>
        <xdr:cNvGraphicFramePr/>
      </xdr:nvGraphicFramePr>
      <xdr:xfrm>
        <a:off x="8448675" y="35994975"/>
        <a:ext cx="5676900" cy="27527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11</xdr:col>
      <xdr:colOff>76200</xdr:colOff>
      <xdr:row>212</xdr:row>
      <xdr:rowOff>9525</xdr:rowOff>
    </xdr:from>
    <xdr:to>
      <xdr:col>20</xdr:col>
      <xdr:colOff>38100</xdr:colOff>
      <xdr:row>227</xdr:row>
      <xdr:rowOff>9525</xdr:rowOff>
    </xdr:to>
    <xdr:graphicFrame>
      <xdr:nvGraphicFramePr>
        <xdr:cNvPr id="23" name="Chart 45"/>
        <xdr:cNvGraphicFramePr/>
      </xdr:nvGraphicFramePr>
      <xdr:xfrm>
        <a:off x="8477250" y="39109650"/>
        <a:ext cx="5362575" cy="29146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11</xdr:col>
      <xdr:colOff>76200</xdr:colOff>
      <xdr:row>227</xdr:row>
      <xdr:rowOff>381000</xdr:rowOff>
    </xdr:from>
    <xdr:to>
      <xdr:col>21</xdr:col>
      <xdr:colOff>123825</xdr:colOff>
      <xdr:row>243</xdr:row>
      <xdr:rowOff>57150</xdr:rowOff>
    </xdr:to>
    <xdr:graphicFrame>
      <xdr:nvGraphicFramePr>
        <xdr:cNvPr id="24" name="Chart 46"/>
        <xdr:cNvGraphicFramePr/>
      </xdr:nvGraphicFramePr>
      <xdr:xfrm>
        <a:off x="8477250" y="42395775"/>
        <a:ext cx="6038850" cy="29908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zoomScalePageLayoutView="0" workbookViewId="0" topLeftCell="B1">
      <selection activeCell="D1" sqref="D1"/>
    </sheetView>
  </sheetViews>
  <sheetFormatPr defaultColWidth="8.8515625" defaultRowHeight="12.75"/>
  <cols>
    <col min="1" max="1" width="25.421875" style="0" customWidth="1"/>
    <col min="3" max="3" width="64.7109375" style="0" customWidth="1"/>
    <col min="4" max="4" width="61.140625" style="0" customWidth="1"/>
  </cols>
  <sheetData>
    <row r="1" spans="1:5" ht="12.75">
      <c r="A1" s="42" t="s">
        <v>457</v>
      </c>
      <c r="B1" s="43"/>
      <c r="C1" s="43"/>
      <c r="D1" s="43"/>
      <c r="E1" s="43"/>
    </row>
    <row r="2" spans="1:5" ht="12.75">
      <c r="A2" s="64" t="s">
        <v>440</v>
      </c>
      <c r="B2" s="42" t="s">
        <v>438</v>
      </c>
      <c r="C2" s="42" t="s">
        <v>439</v>
      </c>
      <c r="D2" s="64" t="s">
        <v>443</v>
      </c>
      <c r="E2" s="43"/>
    </row>
    <row r="3" spans="1:5" ht="12.75">
      <c r="A3" s="43" t="s">
        <v>441</v>
      </c>
      <c r="B3" s="43">
        <v>240</v>
      </c>
      <c r="C3" s="43" t="s">
        <v>442</v>
      </c>
      <c r="D3" s="43" t="s">
        <v>444</v>
      </c>
      <c r="E3" s="43"/>
    </row>
    <row r="4" spans="1:5" ht="12.75">
      <c r="A4" s="43" t="s">
        <v>445</v>
      </c>
      <c r="B4" s="43">
        <v>94</v>
      </c>
      <c r="C4" s="43" t="s">
        <v>181</v>
      </c>
      <c r="D4" s="43"/>
      <c r="E4" s="43"/>
    </row>
    <row r="5" spans="1:5" ht="12.75">
      <c r="A5" s="43" t="s">
        <v>182</v>
      </c>
      <c r="B5" s="43">
        <v>24</v>
      </c>
      <c r="C5" s="43" t="s">
        <v>183</v>
      </c>
      <c r="D5" s="43" t="s">
        <v>184</v>
      </c>
      <c r="E5" s="43"/>
    </row>
    <row r="6" spans="1:5" ht="12.75">
      <c r="A6" s="43" t="s">
        <v>185</v>
      </c>
      <c r="B6" s="43">
        <v>86</v>
      </c>
      <c r="C6" s="43" t="s">
        <v>186</v>
      </c>
      <c r="D6" s="43" t="s">
        <v>192</v>
      </c>
      <c r="E6" s="43"/>
    </row>
    <row r="7" spans="1:5" ht="12.75">
      <c r="A7" s="43" t="s">
        <v>187</v>
      </c>
      <c r="B7" s="43">
        <v>910</v>
      </c>
      <c r="C7" s="43" t="s">
        <v>188</v>
      </c>
      <c r="D7" s="43" t="s">
        <v>189</v>
      </c>
      <c r="E7" s="43"/>
    </row>
    <row r="8" spans="1:5" ht="12.75">
      <c r="A8" s="43" t="s">
        <v>190</v>
      </c>
      <c r="B8" s="43">
        <v>110</v>
      </c>
      <c r="C8" s="43" t="s">
        <v>191</v>
      </c>
      <c r="D8" s="43" t="s">
        <v>193</v>
      </c>
      <c r="E8" s="43"/>
    </row>
    <row r="9" spans="1:5" ht="12.75">
      <c r="A9" s="43"/>
      <c r="B9" s="43"/>
      <c r="C9" s="43"/>
      <c r="D9" s="43"/>
      <c r="E9" s="43"/>
    </row>
    <row r="10" spans="1:5" ht="12.75">
      <c r="A10" s="42" t="s">
        <v>217</v>
      </c>
      <c r="B10" s="43"/>
      <c r="C10" s="43"/>
      <c r="D10" s="43"/>
      <c r="E10" s="43"/>
    </row>
    <row r="11" spans="1:5" ht="12.75">
      <c r="A11" s="43" t="s">
        <v>440</v>
      </c>
      <c r="B11" s="42" t="s">
        <v>438</v>
      </c>
      <c r="C11" s="42" t="s">
        <v>439</v>
      </c>
      <c r="D11" s="64" t="s">
        <v>443</v>
      </c>
      <c r="E11" s="43"/>
    </row>
    <row r="12" spans="1:5" ht="12.75">
      <c r="A12" s="43" t="s">
        <v>194</v>
      </c>
      <c r="B12" s="43">
        <v>60</v>
      </c>
      <c r="C12" s="43" t="s">
        <v>195</v>
      </c>
      <c r="D12" s="64" t="s">
        <v>723</v>
      </c>
      <c r="E12" s="43"/>
    </row>
    <row r="13" spans="1:5" ht="12.75">
      <c r="A13" s="43" t="s">
        <v>196</v>
      </c>
      <c r="B13" s="43">
        <v>780</v>
      </c>
      <c r="C13" s="43" t="s">
        <v>197</v>
      </c>
      <c r="D13" s="43"/>
      <c r="E13" s="43"/>
    </row>
    <row r="14" spans="1:5" ht="12.75">
      <c r="A14" s="43" t="s">
        <v>198</v>
      </c>
      <c r="B14" s="43">
        <v>1400</v>
      </c>
      <c r="C14" s="43" t="s">
        <v>197</v>
      </c>
      <c r="D14" s="43" t="s">
        <v>724</v>
      </c>
      <c r="E14" s="43"/>
    </row>
    <row r="15" spans="1:5" ht="12.75">
      <c r="A15" s="43" t="s">
        <v>199</v>
      </c>
      <c r="B15" s="43">
        <v>640</v>
      </c>
      <c r="C15" s="43" t="s">
        <v>213</v>
      </c>
      <c r="D15" s="43" t="s">
        <v>725</v>
      </c>
      <c r="E15" s="43"/>
    </row>
    <row r="16" spans="1:5" ht="12.75">
      <c r="A16" s="43" t="s">
        <v>214</v>
      </c>
      <c r="B16" s="43">
        <v>520</v>
      </c>
      <c r="C16" s="43" t="s">
        <v>197</v>
      </c>
      <c r="D16" s="43" t="s">
        <v>726</v>
      </c>
      <c r="E16" s="43"/>
    </row>
    <row r="17" spans="1:5" ht="12.75">
      <c r="A17" s="43" t="s">
        <v>215</v>
      </c>
      <c r="B17" s="43">
        <v>3200</v>
      </c>
      <c r="C17" s="43" t="s">
        <v>216</v>
      </c>
      <c r="D17" s="43" t="s">
        <v>727</v>
      </c>
      <c r="E17" s="43"/>
    </row>
    <row r="18" spans="1:5" ht="12.75">
      <c r="A18" s="43"/>
      <c r="B18" s="43"/>
      <c r="C18" s="43"/>
      <c r="D18" s="43"/>
      <c r="E18" s="43"/>
    </row>
    <row r="19" spans="1:5" ht="12.75">
      <c r="A19" s="42" t="s">
        <v>218</v>
      </c>
      <c r="B19" s="43"/>
      <c r="C19" s="43"/>
      <c r="D19" s="43"/>
      <c r="E19" s="43"/>
    </row>
    <row r="20" spans="1:5" ht="12.75">
      <c r="A20" s="64" t="s">
        <v>143</v>
      </c>
      <c r="B20" s="43">
        <v>8E-05</v>
      </c>
      <c r="C20" s="43" t="s">
        <v>144</v>
      </c>
      <c r="D20" s="43" t="s">
        <v>145</v>
      </c>
      <c r="E20" s="43"/>
    </row>
    <row r="21" spans="1:5" ht="12.75">
      <c r="A21" s="43" t="s">
        <v>219</v>
      </c>
      <c r="B21" s="43">
        <v>4000</v>
      </c>
      <c r="C21" s="43" t="s">
        <v>339</v>
      </c>
      <c r="D21" s="43" t="s">
        <v>146</v>
      </c>
      <c r="E21" s="43"/>
    </row>
    <row r="22" spans="1:5" ht="12.75">
      <c r="A22" s="43" t="s">
        <v>148</v>
      </c>
      <c r="B22" s="43">
        <v>18</v>
      </c>
      <c r="C22" s="43" t="s">
        <v>322</v>
      </c>
      <c r="D22" s="43" t="s">
        <v>145</v>
      </c>
      <c r="E22" s="43"/>
    </row>
    <row r="23" spans="1:5" ht="12.75">
      <c r="A23" s="43" t="s">
        <v>340</v>
      </c>
      <c r="B23" s="43">
        <v>800</v>
      </c>
      <c r="C23" s="43" t="s">
        <v>142</v>
      </c>
      <c r="D23" s="43" t="s">
        <v>147</v>
      </c>
      <c r="E23" s="43"/>
    </row>
    <row r="24" spans="1:5" ht="12.75">
      <c r="A24" s="43" t="s">
        <v>323</v>
      </c>
      <c r="B24" s="43">
        <v>23</v>
      </c>
      <c r="C24" s="43" t="s">
        <v>324</v>
      </c>
      <c r="D24" s="43" t="s">
        <v>145</v>
      </c>
      <c r="E24" s="43"/>
    </row>
    <row r="25" spans="1:5" ht="12.75">
      <c r="A25" s="43" t="s">
        <v>325</v>
      </c>
      <c r="B25" s="43">
        <v>6E-05</v>
      </c>
      <c r="C25" s="43" t="s">
        <v>326</v>
      </c>
      <c r="D25" s="43" t="s">
        <v>145</v>
      </c>
      <c r="E25" s="43"/>
    </row>
    <row r="26" spans="1:5" ht="12.75">
      <c r="A26" s="43" t="s">
        <v>327</v>
      </c>
      <c r="B26" s="43">
        <v>30</v>
      </c>
      <c r="C26" s="43" t="s">
        <v>328</v>
      </c>
      <c r="D26" s="43" t="s">
        <v>145</v>
      </c>
      <c r="E26" s="43"/>
    </row>
    <row r="27" spans="1:5" ht="12.75">
      <c r="A27" s="43"/>
      <c r="B27" s="43"/>
      <c r="C27" s="43"/>
      <c r="D27" s="43"/>
      <c r="E27" s="43"/>
    </row>
    <row r="28" spans="1:5" ht="12.75">
      <c r="A28" s="42" t="s">
        <v>329</v>
      </c>
      <c r="B28" s="43"/>
      <c r="C28" s="43"/>
      <c r="D28" s="43"/>
      <c r="E28" s="43"/>
    </row>
    <row r="29" spans="1:5" ht="12.75">
      <c r="A29" s="43" t="s">
        <v>440</v>
      </c>
      <c r="B29" s="42" t="s">
        <v>438</v>
      </c>
      <c r="C29" s="42" t="s">
        <v>439</v>
      </c>
      <c r="D29" s="64" t="s">
        <v>443</v>
      </c>
      <c r="E29" s="43"/>
    </row>
    <row r="30" spans="1:5" ht="12.75">
      <c r="A30" s="43" t="s">
        <v>330</v>
      </c>
      <c r="B30" s="43">
        <v>400</v>
      </c>
      <c r="C30" s="43"/>
      <c r="D30" s="64" t="s">
        <v>338</v>
      </c>
      <c r="E30" s="43"/>
    </row>
    <row r="31" spans="1:5" ht="12.75">
      <c r="A31" s="43" t="s">
        <v>331</v>
      </c>
      <c r="B31" s="43">
        <v>330</v>
      </c>
      <c r="C31" s="43"/>
      <c r="D31" s="64" t="s">
        <v>338</v>
      </c>
      <c r="E31" s="43"/>
    </row>
    <row r="32" spans="1:5" ht="12.75">
      <c r="A32" s="43" t="s">
        <v>332</v>
      </c>
      <c r="B32" s="43">
        <v>360</v>
      </c>
      <c r="C32" s="43"/>
      <c r="D32" s="64" t="s">
        <v>338</v>
      </c>
      <c r="E32" s="43"/>
    </row>
    <row r="33" spans="1:5" ht="12.75">
      <c r="A33" s="43" t="s">
        <v>333</v>
      </c>
      <c r="B33" s="43">
        <v>630</v>
      </c>
      <c r="C33" s="43"/>
      <c r="D33" s="64" t="s">
        <v>338</v>
      </c>
      <c r="E33" s="43"/>
    </row>
    <row r="34" spans="1:5" ht="12.75">
      <c r="A34" s="43" t="s">
        <v>334</v>
      </c>
      <c r="B34" s="43">
        <v>370</v>
      </c>
      <c r="C34" s="43" t="s">
        <v>335</v>
      </c>
      <c r="D34" s="64" t="s">
        <v>338</v>
      </c>
      <c r="E34" s="43"/>
    </row>
    <row r="35" spans="1:5" ht="12.75">
      <c r="A35" s="43" t="s">
        <v>336</v>
      </c>
      <c r="B35" s="43">
        <v>240</v>
      </c>
      <c r="C35" s="43" t="s">
        <v>337</v>
      </c>
      <c r="D35" s="64" t="s">
        <v>338</v>
      </c>
      <c r="E35" s="43"/>
    </row>
    <row r="36" spans="1:5" ht="12.75">
      <c r="A36" s="48" t="s">
        <v>1366</v>
      </c>
      <c r="B36" s="53">
        <f>(SUM(B30:B35)/6)</f>
        <v>388.3333333333333</v>
      </c>
      <c r="C36" s="43"/>
      <c r="D36" s="43"/>
      <c r="E36" s="43"/>
    </row>
    <row r="37" spans="1:5" ht="12.75">
      <c r="A37" s="42" t="s">
        <v>695</v>
      </c>
      <c r="B37" s="43"/>
      <c r="C37" s="43"/>
      <c r="D37" s="43"/>
      <c r="E37" s="43"/>
    </row>
    <row r="38" spans="1:5" ht="12.75">
      <c r="A38" s="43" t="s">
        <v>440</v>
      </c>
      <c r="B38" s="42" t="s">
        <v>438</v>
      </c>
      <c r="C38" s="42" t="s">
        <v>439</v>
      </c>
      <c r="D38" s="64" t="s">
        <v>443</v>
      </c>
      <c r="E38" s="43"/>
    </row>
    <row r="39" spans="1:5" ht="12.75">
      <c r="A39" s="43" t="s">
        <v>431</v>
      </c>
      <c r="B39" s="43">
        <v>6.4</v>
      </c>
      <c r="C39" s="43" t="s">
        <v>432</v>
      </c>
      <c r="D39" s="64" t="s">
        <v>435</v>
      </c>
      <c r="E39" s="43"/>
    </row>
    <row r="40" spans="1:5" ht="12.75">
      <c r="A40" s="43" t="s">
        <v>433</v>
      </c>
      <c r="B40" s="43">
        <v>9.1</v>
      </c>
      <c r="C40" s="43" t="s">
        <v>434</v>
      </c>
      <c r="D40" s="64" t="s">
        <v>435</v>
      </c>
      <c r="E40" s="43"/>
    </row>
    <row r="41" spans="1:5" ht="12.75">
      <c r="A41" s="43"/>
      <c r="B41" s="43"/>
      <c r="C41" s="43"/>
      <c r="D41" s="43"/>
      <c r="E41" s="43"/>
    </row>
    <row r="42" spans="1:5" ht="12.75">
      <c r="A42" s="42" t="s">
        <v>696</v>
      </c>
      <c r="B42" s="43"/>
      <c r="C42" s="43"/>
      <c r="D42" s="43"/>
      <c r="E42" s="43"/>
    </row>
    <row r="43" spans="1:5" ht="12.75">
      <c r="A43" s="43" t="s">
        <v>440</v>
      </c>
      <c r="B43" s="42" t="s">
        <v>438</v>
      </c>
      <c r="C43" s="42" t="s">
        <v>439</v>
      </c>
      <c r="D43" s="64" t="s">
        <v>443</v>
      </c>
      <c r="E43" s="43"/>
    </row>
    <row r="44" spans="1:5" ht="12.75">
      <c r="A44" s="43" t="s">
        <v>436</v>
      </c>
      <c r="B44" s="43">
        <v>360</v>
      </c>
      <c r="C44" s="43" t="s">
        <v>437</v>
      </c>
      <c r="D44" s="64" t="s">
        <v>122</v>
      </c>
      <c r="E44" s="43"/>
    </row>
    <row r="45" spans="1:5" ht="12.75">
      <c r="A45" s="43"/>
      <c r="B45" s="43"/>
      <c r="C45" s="43"/>
      <c r="D45" s="43"/>
      <c r="E45" s="43"/>
    </row>
    <row r="46" spans="1:5" ht="12.75">
      <c r="A46" s="42" t="s">
        <v>697</v>
      </c>
      <c r="B46" s="42"/>
      <c r="C46" s="43"/>
      <c r="D46" s="43"/>
      <c r="E46" s="43"/>
    </row>
    <row r="47" spans="1:5" ht="12.75">
      <c r="A47" s="43" t="s">
        <v>440</v>
      </c>
      <c r="B47" s="42" t="s">
        <v>438</v>
      </c>
      <c r="C47" s="42" t="s">
        <v>439</v>
      </c>
      <c r="D47" s="64" t="s">
        <v>443</v>
      </c>
      <c r="E47" s="43"/>
    </row>
    <row r="48" spans="1:5" ht="12.75">
      <c r="A48" s="43" t="s">
        <v>239</v>
      </c>
      <c r="B48" s="43">
        <v>13</v>
      </c>
      <c r="C48" s="43" t="s">
        <v>240</v>
      </c>
      <c r="D48" s="64" t="s">
        <v>241</v>
      </c>
      <c r="E48" s="43"/>
    </row>
    <row r="49" spans="1:5" ht="12.75">
      <c r="A49" s="43" t="s">
        <v>242</v>
      </c>
      <c r="B49" s="43">
        <v>330</v>
      </c>
      <c r="C49" s="43" t="s">
        <v>243</v>
      </c>
      <c r="D49" s="64" t="s">
        <v>244</v>
      </c>
      <c r="E49" s="43"/>
    </row>
    <row r="50" spans="1:5" ht="12.75">
      <c r="A50" s="43" t="s">
        <v>245</v>
      </c>
      <c r="B50" s="43">
        <v>180</v>
      </c>
      <c r="C50" s="43" t="s">
        <v>246</v>
      </c>
      <c r="D50" s="64" t="s">
        <v>247</v>
      </c>
      <c r="E50" s="43"/>
    </row>
    <row r="51" spans="1:5" ht="12.75">
      <c r="A51" s="43" t="s">
        <v>248</v>
      </c>
      <c r="B51" s="43">
        <v>22</v>
      </c>
      <c r="C51" s="43" t="s">
        <v>255</v>
      </c>
      <c r="D51" s="64" t="s">
        <v>256</v>
      </c>
      <c r="E51" s="43"/>
    </row>
    <row r="52" spans="1:5" ht="12.75">
      <c r="A52" s="43" t="s">
        <v>316</v>
      </c>
      <c r="B52" s="43">
        <v>39</v>
      </c>
      <c r="C52" s="43" t="s">
        <v>317</v>
      </c>
      <c r="D52" s="64" t="s">
        <v>256</v>
      </c>
      <c r="E52" s="43"/>
    </row>
    <row r="53" spans="1:5" ht="12.75">
      <c r="A53" s="43" t="s">
        <v>318</v>
      </c>
      <c r="B53" s="43">
        <v>38</v>
      </c>
      <c r="C53" s="43" t="s">
        <v>319</v>
      </c>
      <c r="D53" s="64" t="s">
        <v>320</v>
      </c>
      <c r="E53" s="43"/>
    </row>
    <row r="54" spans="1:5" ht="12.75">
      <c r="A54" s="43" t="s">
        <v>321</v>
      </c>
      <c r="B54" s="43">
        <v>55</v>
      </c>
      <c r="C54" s="43" t="s">
        <v>377</v>
      </c>
      <c r="D54" s="64" t="s">
        <v>378</v>
      </c>
      <c r="E54" s="43"/>
    </row>
    <row r="55" spans="1:5" ht="12.75">
      <c r="A55" s="43"/>
      <c r="B55" s="43"/>
      <c r="C55" s="43"/>
      <c r="D55" s="43"/>
      <c r="E55" s="43"/>
    </row>
    <row r="56" spans="1:5" ht="12.75">
      <c r="A56" s="42" t="s">
        <v>702</v>
      </c>
      <c r="B56" s="43"/>
      <c r="C56" s="43"/>
      <c r="D56" s="43"/>
      <c r="E56" s="43"/>
    </row>
    <row r="57" spans="1:5" ht="12.75">
      <c r="A57" s="43" t="s">
        <v>440</v>
      </c>
      <c r="B57" s="42" t="s">
        <v>438</v>
      </c>
      <c r="C57" s="42" t="s">
        <v>439</v>
      </c>
      <c r="D57" s="64" t="s">
        <v>443</v>
      </c>
      <c r="E57" s="43"/>
    </row>
    <row r="58" spans="1:5" ht="12.75">
      <c r="A58" s="43" t="s">
        <v>379</v>
      </c>
      <c r="B58" s="43">
        <v>20</v>
      </c>
      <c r="C58" s="43" t="s">
        <v>380</v>
      </c>
      <c r="D58" s="64" t="s">
        <v>229</v>
      </c>
      <c r="E58" s="43"/>
    </row>
    <row r="59" spans="1:5" ht="12.75">
      <c r="A59" s="43" t="s">
        <v>381</v>
      </c>
      <c r="B59" s="43">
        <v>1500</v>
      </c>
      <c r="C59" s="43" t="s">
        <v>382</v>
      </c>
      <c r="D59" s="64" t="s">
        <v>385</v>
      </c>
      <c r="E59" s="43"/>
    </row>
    <row r="60" spans="1:5" ht="12.75">
      <c r="A60" s="43" t="s">
        <v>383</v>
      </c>
      <c r="B60" s="43">
        <v>4300</v>
      </c>
      <c r="C60" s="43" t="s">
        <v>384</v>
      </c>
      <c r="D60" s="64" t="s">
        <v>386</v>
      </c>
      <c r="E60" s="43"/>
    </row>
    <row r="61" spans="1:5" ht="12.75">
      <c r="A61" s="43" t="s">
        <v>404</v>
      </c>
      <c r="B61" s="43">
        <v>45</v>
      </c>
      <c r="C61" s="43" t="s">
        <v>405</v>
      </c>
      <c r="D61" s="64" t="s">
        <v>428</v>
      </c>
      <c r="E61" s="43"/>
    </row>
    <row r="62" spans="1:5" ht="12.75">
      <c r="A62" s="43"/>
      <c r="B62" s="43"/>
      <c r="C62" s="43"/>
      <c r="D62" s="43"/>
      <c r="E62" s="43"/>
    </row>
    <row r="63" spans="1:5" ht="12.75">
      <c r="A63" s="42" t="s">
        <v>703</v>
      </c>
      <c r="B63" s="43"/>
      <c r="C63" s="43"/>
      <c r="D63" s="43"/>
      <c r="E63" s="43"/>
    </row>
    <row r="64" spans="1:5" ht="12.75">
      <c r="A64" s="43" t="s">
        <v>440</v>
      </c>
      <c r="B64" s="42" t="s">
        <v>438</v>
      </c>
      <c r="C64" s="42" t="s">
        <v>439</v>
      </c>
      <c r="D64" s="64" t="s">
        <v>443</v>
      </c>
      <c r="E64" s="43"/>
    </row>
    <row r="65" spans="1:5" ht="12.75">
      <c r="A65" s="43" t="s">
        <v>387</v>
      </c>
      <c r="B65" s="43">
        <v>22</v>
      </c>
      <c r="C65" s="43" t="s">
        <v>388</v>
      </c>
      <c r="D65" s="64" t="s">
        <v>485</v>
      </c>
      <c r="E65" s="43"/>
    </row>
    <row r="66" spans="1:5" ht="12.75">
      <c r="A66" s="43" t="s">
        <v>486</v>
      </c>
      <c r="B66" s="43">
        <v>33</v>
      </c>
      <c r="C66" s="43" t="s">
        <v>363</v>
      </c>
      <c r="D66" s="64" t="s">
        <v>485</v>
      </c>
      <c r="E66" s="43"/>
    </row>
    <row r="67" spans="1:5" ht="12.75">
      <c r="A67" s="43"/>
      <c r="B67" s="43"/>
      <c r="C67" s="43"/>
      <c r="D67" s="43"/>
      <c r="E67" s="43"/>
    </row>
    <row r="68" spans="1:5" ht="12.75">
      <c r="A68" s="42" t="s">
        <v>704</v>
      </c>
      <c r="B68" s="43"/>
      <c r="C68" s="43"/>
      <c r="D68" s="43"/>
      <c r="E68" s="43"/>
    </row>
    <row r="69" spans="1:5" ht="12.75">
      <c r="A69" s="43" t="s">
        <v>440</v>
      </c>
      <c r="B69" s="42" t="s">
        <v>438</v>
      </c>
      <c r="C69" s="42" t="s">
        <v>439</v>
      </c>
      <c r="D69" s="64" t="s">
        <v>443</v>
      </c>
      <c r="E69" s="43"/>
    </row>
    <row r="70" spans="1:5" ht="12.75">
      <c r="A70" s="43" t="s">
        <v>364</v>
      </c>
      <c r="B70" s="43">
        <v>22</v>
      </c>
      <c r="C70" s="43" t="s">
        <v>365</v>
      </c>
      <c r="D70" s="64" t="s">
        <v>368</v>
      </c>
      <c r="E70" s="43"/>
    </row>
    <row r="71" spans="1:5" ht="12.75">
      <c r="A71" s="43" t="s">
        <v>366</v>
      </c>
      <c r="B71" s="43">
        <v>15</v>
      </c>
      <c r="C71" s="43" t="s">
        <v>367</v>
      </c>
      <c r="D71" s="64" t="s">
        <v>369</v>
      </c>
      <c r="E71" s="43"/>
    </row>
    <row r="72" spans="1:5" ht="12.75">
      <c r="A72" s="43" t="s">
        <v>372</v>
      </c>
      <c r="B72" s="43">
        <v>1.1</v>
      </c>
      <c r="C72" s="43" t="s">
        <v>370</v>
      </c>
      <c r="D72" s="64" t="s">
        <v>373</v>
      </c>
      <c r="E72" s="43"/>
    </row>
    <row r="73" spans="1:5" ht="12.75">
      <c r="A73" s="43" t="s">
        <v>371</v>
      </c>
      <c r="B73" s="43">
        <v>5.1</v>
      </c>
      <c r="C73" s="43" t="s">
        <v>370</v>
      </c>
      <c r="D73" s="64" t="s">
        <v>374</v>
      </c>
      <c r="E73" s="43"/>
    </row>
    <row r="74" spans="1:5" ht="12.75">
      <c r="A74" s="43"/>
      <c r="B74" s="43"/>
      <c r="C74" s="43"/>
      <c r="D74" s="43"/>
      <c r="E74" s="43"/>
    </row>
    <row r="75" spans="1:5" ht="12.75">
      <c r="A75" s="42" t="s">
        <v>565</v>
      </c>
      <c r="B75" s="43"/>
      <c r="C75" s="43"/>
      <c r="D75" s="43"/>
      <c r="E75" s="43"/>
    </row>
    <row r="76" spans="1:5" ht="12.75">
      <c r="A76" s="43" t="s">
        <v>440</v>
      </c>
      <c r="B76" s="42" t="s">
        <v>438</v>
      </c>
      <c r="C76" s="42" t="s">
        <v>439</v>
      </c>
      <c r="D76" s="64" t="s">
        <v>443</v>
      </c>
      <c r="E76" s="43"/>
    </row>
    <row r="77" spans="1:5" ht="12.75">
      <c r="A77" s="43" t="s">
        <v>375</v>
      </c>
      <c r="B77" s="43">
        <v>-720</v>
      </c>
      <c r="C77" s="43" t="s">
        <v>376</v>
      </c>
      <c r="D77" s="64" t="s">
        <v>561</v>
      </c>
      <c r="E77" s="43"/>
    </row>
    <row r="78" spans="1:5" ht="12.75">
      <c r="A78" s="43" t="s">
        <v>562</v>
      </c>
      <c r="B78" s="43">
        <v>-70</v>
      </c>
      <c r="C78" s="43" t="s">
        <v>563</v>
      </c>
      <c r="D78" s="64" t="s">
        <v>564</v>
      </c>
      <c r="E78" s="43"/>
    </row>
    <row r="79" spans="1:5" ht="12.75">
      <c r="A79" s="43"/>
      <c r="B79" s="43"/>
      <c r="C79" s="43"/>
      <c r="D79" s="43"/>
      <c r="E79" s="43"/>
    </row>
    <row r="80" spans="1:5" ht="12.75">
      <c r="A80" s="42" t="s">
        <v>566</v>
      </c>
      <c r="B80" s="43"/>
      <c r="C80" s="43"/>
      <c r="D80" s="43"/>
      <c r="E80" s="43"/>
    </row>
    <row r="81" spans="1:5" ht="12.75">
      <c r="A81" s="43" t="s">
        <v>440</v>
      </c>
      <c r="B81" s="42" t="s">
        <v>438</v>
      </c>
      <c r="C81" s="42" t="s">
        <v>439</v>
      </c>
      <c r="D81" s="64" t="s">
        <v>443</v>
      </c>
      <c r="E81" s="43"/>
    </row>
    <row r="82" spans="1:5" ht="12.75">
      <c r="A82" s="43" t="s">
        <v>429</v>
      </c>
      <c r="B82" s="43">
        <v>1.4</v>
      </c>
      <c r="C82" s="43" t="s">
        <v>446</v>
      </c>
      <c r="D82" s="64" t="s">
        <v>354</v>
      </c>
      <c r="E82" s="43"/>
    </row>
    <row r="83" spans="1:5" ht="12.75">
      <c r="A83" s="43" t="s">
        <v>430</v>
      </c>
      <c r="B83" s="43">
        <v>1.4</v>
      </c>
      <c r="C83" s="43" t="s">
        <v>355</v>
      </c>
      <c r="D83" s="64" t="s">
        <v>354</v>
      </c>
      <c r="E83" s="43"/>
    </row>
    <row r="84" spans="1:5" ht="12.75">
      <c r="A84" s="43"/>
      <c r="B84" s="43"/>
      <c r="C84" s="43"/>
      <c r="D84" s="43"/>
      <c r="E84" s="43"/>
    </row>
    <row r="85" spans="1:5" ht="12.75">
      <c r="A85" s="42" t="s">
        <v>567</v>
      </c>
      <c r="B85" s="43"/>
      <c r="C85" s="43"/>
      <c r="D85" s="43"/>
      <c r="E85" s="43"/>
    </row>
    <row r="86" spans="1:5" ht="12.75">
      <c r="A86" s="43" t="s">
        <v>440</v>
      </c>
      <c r="B86" s="42" t="s">
        <v>438</v>
      </c>
      <c r="C86" s="42" t="s">
        <v>439</v>
      </c>
      <c r="D86" s="64" t="s">
        <v>443</v>
      </c>
      <c r="E86" s="43"/>
    </row>
    <row r="87" spans="1:5" ht="12.75">
      <c r="A87" s="43" t="s">
        <v>356</v>
      </c>
      <c r="B87" s="43">
        <v>-5.9</v>
      </c>
      <c r="C87" s="43" t="s">
        <v>175</v>
      </c>
      <c r="D87" s="64" t="s">
        <v>568</v>
      </c>
      <c r="E87" s="43"/>
    </row>
    <row r="88" spans="1:5" ht="12.75">
      <c r="A88" s="43" t="s">
        <v>176</v>
      </c>
      <c r="B88" s="43">
        <v>-23</v>
      </c>
      <c r="C88" s="43" t="s">
        <v>560</v>
      </c>
      <c r="D88" s="64" t="s">
        <v>568</v>
      </c>
      <c r="E88" s="43"/>
    </row>
  </sheetData>
  <sheetProtection/>
  <printOptions/>
  <pageMargins left="0.75" right="0.75" top="1" bottom="1" header="0.5" footer="0.5"/>
  <pageSetup horizontalDpi="600" verticalDpi="600" orientation="landscape" paperSize="9" scale="70"/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zoomScale="90" zoomScaleNormal="90" zoomScalePageLayoutView="0" workbookViewId="0" topLeftCell="G40">
      <selection activeCell="E24" sqref="E24"/>
    </sheetView>
  </sheetViews>
  <sheetFormatPr defaultColWidth="8.8515625" defaultRowHeight="12.75"/>
  <cols>
    <col min="1" max="1" width="11.140625" style="0" customWidth="1"/>
    <col min="2" max="2" width="10.421875" style="0" customWidth="1"/>
    <col min="3" max="3" width="12.8515625" style="0" customWidth="1"/>
    <col min="4" max="4" width="9.8515625" style="0" bestFit="1" customWidth="1"/>
    <col min="5" max="5" width="12.421875" style="0" customWidth="1"/>
    <col min="6" max="6" width="11.140625" style="0" customWidth="1"/>
    <col min="7" max="7" width="13.8515625" style="0" customWidth="1"/>
    <col min="8" max="8" width="12.7109375" style="0" bestFit="1" customWidth="1"/>
    <col min="9" max="9" width="12.7109375" style="0" customWidth="1"/>
    <col min="10" max="10" width="12.00390625" style="0" bestFit="1" customWidth="1"/>
    <col min="11" max="11" width="12.00390625" style="0" customWidth="1"/>
    <col min="12" max="12" width="10.140625" style="0" bestFit="1" customWidth="1"/>
    <col min="13" max="13" width="8.421875" style="0" customWidth="1"/>
    <col min="14" max="14" width="11.140625" style="0" customWidth="1"/>
    <col min="15" max="15" width="12.28125" style="0" customWidth="1"/>
    <col min="16" max="16" width="19.140625" style="0" customWidth="1"/>
  </cols>
  <sheetData>
    <row r="1" ht="12.75">
      <c r="A1" s="1" t="s">
        <v>1029</v>
      </c>
    </row>
    <row r="3" spans="1:16" ht="59.25" customHeight="1">
      <c r="A3" s="44" t="s">
        <v>1228</v>
      </c>
      <c r="B3" s="44" t="s">
        <v>494</v>
      </c>
      <c r="C3" s="44" t="s">
        <v>1230</v>
      </c>
      <c r="D3" s="44" t="s">
        <v>1009</v>
      </c>
      <c r="E3" s="44" t="s">
        <v>1260</v>
      </c>
      <c r="F3" s="44" t="s">
        <v>1233</v>
      </c>
      <c r="G3" s="44" t="s">
        <v>1235</v>
      </c>
      <c r="H3" s="44" t="s">
        <v>1185</v>
      </c>
      <c r="I3" s="44" t="s">
        <v>1186</v>
      </c>
      <c r="J3" s="44" t="s">
        <v>1188</v>
      </c>
      <c r="K3" s="70" t="s">
        <v>1217</v>
      </c>
      <c r="L3" s="178" t="s">
        <v>1097</v>
      </c>
      <c r="M3" s="178" t="s">
        <v>1103</v>
      </c>
      <c r="N3" s="175" t="s">
        <v>1098</v>
      </c>
      <c r="O3" s="187" t="s">
        <v>1104</v>
      </c>
      <c r="P3" s="178" t="s">
        <v>1002</v>
      </c>
    </row>
    <row r="4" spans="1:16" ht="12.75">
      <c r="A4" s="179" t="s">
        <v>1229</v>
      </c>
      <c r="B4" s="179" t="s">
        <v>1232</v>
      </c>
      <c r="C4" s="179" t="s">
        <v>1231</v>
      </c>
      <c r="D4" s="179">
        <v>12.3</v>
      </c>
      <c r="E4" s="180">
        <f>1.74/10000</f>
        <v>0.000174</v>
      </c>
      <c r="F4" s="179">
        <f>(1*'Boiler Data'!$F$28)</f>
        <v>747.88</v>
      </c>
      <c r="G4" s="180">
        <f>(F4*E4)</f>
        <v>0.13013112</v>
      </c>
      <c r="H4" s="180">
        <f>1000000*G4</f>
        <v>130131.12</v>
      </c>
      <c r="I4" s="179">
        <v>0.01</v>
      </c>
      <c r="J4" s="181">
        <f aca="true" t="shared" si="0" ref="J4:J20">I4*H4</f>
        <v>1301.3111999999999</v>
      </c>
      <c r="K4" s="167">
        <f aca="true" t="shared" si="1" ref="K4:K19">(H4*1000000)</f>
        <v>130131120000</v>
      </c>
      <c r="L4" s="167">
        <f>('Boiler Data'!$J$28*1000000)</f>
        <v>760000000</v>
      </c>
      <c r="M4" s="184">
        <f>(K4/L4)</f>
        <v>171.22515789473684</v>
      </c>
      <c r="N4" s="177">
        <v>100</v>
      </c>
      <c r="O4" s="188">
        <v>10000000</v>
      </c>
      <c r="P4" s="43" t="s">
        <v>1003</v>
      </c>
    </row>
    <row r="5" spans="1:16" ht="12.75">
      <c r="A5" s="179" t="s">
        <v>1234</v>
      </c>
      <c r="B5" s="179" t="s">
        <v>1232</v>
      </c>
      <c r="C5" s="179" t="s">
        <v>1231</v>
      </c>
      <c r="D5" s="179">
        <v>5730</v>
      </c>
      <c r="E5" s="180">
        <f>1.91/100000</f>
        <v>1.91E-05</v>
      </c>
      <c r="F5" s="179">
        <f>(1*'Boiler Data'!$F$28)</f>
        <v>747.88</v>
      </c>
      <c r="G5" s="180">
        <f>(F5*E5)</f>
        <v>0.014284508</v>
      </c>
      <c r="H5" s="180">
        <f aca="true" t="shared" si="2" ref="H5:H21">1000000*G5</f>
        <v>14284.508</v>
      </c>
      <c r="I5" s="179">
        <v>55</v>
      </c>
      <c r="J5" s="180">
        <f t="shared" si="0"/>
        <v>785647.94</v>
      </c>
      <c r="K5" s="167">
        <f t="shared" si="1"/>
        <v>14284508000</v>
      </c>
      <c r="L5" s="167">
        <f>('Boiler Data'!$J$28*1000000)</f>
        <v>760000000</v>
      </c>
      <c r="M5" s="184">
        <f aca="true" t="shared" si="3" ref="M5:M19">(K5/L5)</f>
        <v>18.795405263157896</v>
      </c>
      <c r="N5" s="177">
        <v>10</v>
      </c>
      <c r="O5" s="188">
        <v>100000</v>
      </c>
      <c r="P5" s="43"/>
    </row>
    <row r="6" spans="1:16" ht="12.75">
      <c r="A6" s="179" t="s">
        <v>1236</v>
      </c>
      <c r="B6" s="179" t="s">
        <v>1232</v>
      </c>
      <c r="C6" s="179" t="s">
        <v>1231</v>
      </c>
      <c r="D6" s="179">
        <v>302000</v>
      </c>
      <c r="E6" s="180">
        <f>1.22/100000000</f>
        <v>1.22E-08</v>
      </c>
      <c r="F6" s="179">
        <f>(1*'Boiler Data'!$F$28)</f>
        <v>747.88</v>
      </c>
      <c r="G6" s="180">
        <f aca="true" t="shared" si="4" ref="G6:G21">(F6*E6)</f>
        <v>9.124136E-06</v>
      </c>
      <c r="H6" s="180">
        <f t="shared" si="2"/>
        <v>9.124136</v>
      </c>
      <c r="I6" s="179">
        <v>0.2</v>
      </c>
      <c r="J6" s="181">
        <f t="shared" si="0"/>
        <v>1.8248272</v>
      </c>
      <c r="K6" s="167">
        <f t="shared" si="1"/>
        <v>9124136</v>
      </c>
      <c r="L6" s="167">
        <f>('Boiler Data'!$J$28*1000000)</f>
        <v>760000000</v>
      </c>
      <c r="M6" s="185">
        <f t="shared" si="3"/>
        <v>0.012005442105263157</v>
      </c>
      <c r="N6" s="177">
        <v>1</v>
      </c>
      <c r="O6" s="188">
        <v>100000</v>
      </c>
      <c r="P6" s="43"/>
    </row>
    <row r="7" spans="1:16" ht="12.75">
      <c r="A7" s="43" t="s">
        <v>1237</v>
      </c>
      <c r="B7" s="43" t="s">
        <v>1232</v>
      </c>
      <c r="C7" s="43" t="s">
        <v>1238</v>
      </c>
      <c r="D7" s="43">
        <v>103000</v>
      </c>
      <c r="E7" s="52">
        <f>1.28/1000000</f>
        <v>1.28E-06</v>
      </c>
      <c r="F7" s="43">
        <f>(1*'Boiler Data'!$F$28)</f>
        <v>747.88</v>
      </c>
      <c r="G7" s="52">
        <f t="shared" si="4"/>
        <v>0.0009572864</v>
      </c>
      <c r="H7" s="52">
        <f t="shared" si="2"/>
        <v>957.2864000000001</v>
      </c>
      <c r="I7" s="43">
        <v>0.2</v>
      </c>
      <c r="J7" s="45">
        <f t="shared" si="0"/>
        <v>191.45728000000003</v>
      </c>
      <c r="K7" s="167">
        <f t="shared" si="1"/>
        <v>957286400.0000001</v>
      </c>
      <c r="L7" s="167">
        <f>('Boiler Data'!$J$28*1000000)</f>
        <v>760000000</v>
      </c>
      <c r="M7" s="186">
        <f t="shared" si="3"/>
        <v>1.2595873684210528</v>
      </c>
      <c r="N7" s="177" t="s">
        <v>1099</v>
      </c>
      <c r="O7" s="187" t="s">
        <v>1099</v>
      </c>
      <c r="P7" s="43"/>
    </row>
    <row r="8" spans="1:16" ht="14.25">
      <c r="A8" s="43" t="s">
        <v>1239</v>
      </c>
      <c r="B8" s="43" t="s">
        <v>1232</v>
      </c>
      <c r="C8" s="43" t="s">
        <v>1238</v>
      </c>
      <c r="D8" s="43">
        <v>0.856</v>
      </c>
      <c r="E8" s="52">
        <f>1.71/1000000000000</f>
        <v>1.71E-12</v>
      </c>
      <c r="F8" s="43">
        <f>(1*'Boiler Data'!$F$28)</f>
        <v>747.88</v>
      </c>
      <c r="G8" s="52">
        <f t="shared" si="4"/>
        <v>1.2788748E-09</v>
      </c>
      <c r="H8" s="52">
        <f t="shared" si="2"/>
        <v>0.0012788748</v>
      </c>
      <c r="I8" s="43">
        <v>0.2</v>
      </c>
      <c r="J8" s="45">
        <f t="shared" si="0"/>
        <v>0.00025577496</v>
      </c>
      <c r="K8" s="167">
        <f t="shared" si="1"/>
        <v>1278.8748</v>
      </c>
      <c r="L8" s="167">
        <f>('Boiler Data'!$J$28*1000000)</f>
        <v>760000000</v>
      </c>
      <c r="M8" s="185">
        <f t="shared" si="3"/>
        <v>1.68273E-06</v>
      </c>
      <c r="N8" s="177">
        <v>0.1</v>
      </c>
      <c r="O8" s="187">
        <v>10</v>
      </c>
      <c r="P8" s="43" t="s">
        <v>1004</v>
      </c>
    </row>
    <row r="9" spans="1:16" ht="12.75">
      <c r="A9" s="43" t="s">
        <v>1240</v>
      </c>
      <c r="B9" s="43" t="s">
        <v>1232</v>
      </c>
      <c r="C9" s="43" t="s">
        <v>1238</v>
      </c>
      <c r="D9" s="43">
        <v>2.7</v>
      </c>
      <c r="E9" s="52">
        <f>7.86/1000000</f>
        <v>7.860000000000001E-06</v>
      </c>
      <c r="F9" s="43">
        <f>(1*'Boiler Data'!$F$28)</f>
        <v>747.88</v>
      </c>
      <c r="G9" s="52">
        <f t="shared" si="4"/>
        <v>0.005878336800000001</v>
      </c>
      <c r="H9" s="52">
        <f t="shared" si="2"/>
        <v>5878.336800000001</v>
      </c>
      <c r="I9" s="43">
        <v>0.2</v>
      </c>
      <c r="J9" s="45">
        <f t="shared" si="0"/>
        <v>1175.6673600000001</v>
      </c>
      <c r="K9" s="167">
        <f t="shared" si="1"/>
        <v>5878336800.000001</v>
      </c>
      <c r="L9" s="167">
        <f>('Boiler Data'!$J$28*1000000)</f>
        <v>760000000</v>
      </c>
      <c r="M9" s="185">
        <f t="shared" si="3"/>
        <v>7.734653684210528</v>
      </c>
      <c r="N9" s="177">
        <v>100</v>
      </c>
      <c r="O9" s="188">
        <v>100000</v>
      </c>
      <c r="P9" s="43"/>
    </row>
    <row r="10" spans="1:16" ht="14.25">
      <c r="A10" s="43" t="s">
        <v>1241</v>
      </c>
      <c r="B10" s="43" t="s">
        <v>1232</v>
      </c>
      <c r="C10" s="43" t="s">
        <v>1231</v>
      </c>
      <c r="D10" s="43">
        <v>5.7</v>
      </c>
      <c r="E10" s="52">
        <f>6.58/1000000</f>
        <v>6.58E-06</v>
      </c>
      <c r="F10" s="43">
        <f>(1*'Boiler Data'!$F$28)</f>
        <v>747.88</v>
      </c>
      <c r="G10" s="52">
        <f t="shared" si="4"/>
        <v>0.0049210504</v>
      </c>
      <c r="H10" s="52">
        <f t="shared" si="2"/>
        <v>4921.0504</v>
      </c>
      <c r="I10" s="43">
        <v>0.2</v>
      </c>
      <c r="J10" s="45">
        <f t="shared" si="0"/>
        <v>984.2100800000001</v>
      </c>
      <c r="K10" s="167">
        <f t="shared" si="1"/>
        <v>4921050400</v>
      </c>
      <c r="L10" s="167">
        <f>('Boiler Data'!$J$28*1000000)</f>
        <v>760000000</v>
      </c>
      <c r="M10" s="184">
        <f t="shared" si="3"/>
        <v>6.475066315789474</v>
      </c>
      <c r="N10" s="177">
        <v>0.1</v>
      </c>
      <c r="O10" s="187">
        <v>10</v>
      </c>
      <c r="P10" s="43" t="s">
        <v>1005</v>
      </c>
    </row>
    <row r="11" spans="1:16" ht="12.75">
      <c r="A11" s="43" t="s">
        <v>1242</v>
      </c>
      <c r="B11" s="43" t="s">
        <v>1232</v>
      </c>
      <c r="C11" s="43" t="s">
        <v>1238</v>
      </c>
      <c r="D11" s="43">
        <v>74900</v>
      </c>
      <c r="E11" s="52">
        <f>1.74/100000000</f>
        <v>1.74E-08</v>
      </c>
      <c r="F11" s="43">
        <f>(1*'Boiler Data'!$F$28)</f>
        <v>747.88</v>
      </c>
      <c r="G11" s="52">
        <f t="shared" si="4"/>
        <v>1.3013112E-05</v>
      </c>
      <c r="H11" s="52">
        <f t="shared" si="2"/>
        <v>13.013112</v>
      </c>
      <c r="I11" s="43">
        <v>0.2</v>
      </c>
      <c r="J11" s="45">
        <f t="shared" si="0"/>
        <v>2.6026224</v>
      </c>
      <c r="K11" s="167">
        <f t="shared" si="1"/>
        <v>13013112</v>
      </c>
      <c r="L11" s="167">
        <f>('Boiler Data'!$J$28*1000000)</f>
        <v>760000000</v>
      </c>
      <c r="M11" s="185">
        <f t="shared" si="3"/>
        <v>0.017122515789473686</v>
      </c>
      <c r="N11" s="177">
        <v>100</v>
      </c>
      <c r="O11" s="188">
        <v>100000</v>
      </c>
      <c r="P11" s="43"/>
    </row>
    <row r="12" spans="1:16" ht="12.75">
      <c r="A12" s="43" t="s">
        <v>1243</v>
      </c>
      <c r="B12" s="43" t="s">
        <v>1232</v>
      </c>
      <c r="C12" s="43" t="s">
        <v>1231</v>
      </c>
      <c r="D12" s="43">
        <v>100</v>
      </c>
      <c r="E12" s="52">
        <f>1.83/1000000</f>
        <v>1.83E-06</v>
      </c>
      <c r="F12" s="43">
        <f>(1*'Boiler Data'!$F$28)</f>
        <v>747.88</v>
      </c>
      <c r="G12" s="52">
        <f t="shared" si="4"/>
        <v>0.0013686204</v>
      </c>
      <c r="H12" s="52">
        <f t="shared" si="2"/>
        <v>1368.6204</v>
      </c>
      <c r="I12" s="43">
        <v>0.2</v>
      </c>
      <c r="J12" s="45">
        <f t="shared" si="0"/>
        <v>273.72408</v>
      </c>
      <c r="K12" s="167">
        <f t="shared" si="1"/>
        <v>1368620400</v>
      </c>
      <c r="L12" s="167">
        <f>('Boiler Data'!$J$28*1000000)</f>
        <v>760000000</v>
      </c>
      <c r="M12" s="185">
        <f t="shared" si="3"/>
        <v>1.8008163157894737</v>
      </c>
      <c r="N12" s="177">
        <v>100</v>
      </c>
      <c r="O12" s="188">
        <v>1000000</v>
      </c>
      <c r="P12" s="43"/>
    </row>
    <row r="13" spans="1:16" ht="12.75">
      <c r="A13" s="43" t="s">
        <v>1244</v>
      </c>
      <c r="B13" s="43" t="s">
        <v>1245</v>
      </c>
      <c r="C13" s="43" t="s">
        <v>1246</v>
      </c>
      <c r="D13" s="43">
        <v>16.4</v>
      </c>
      <c r="E13" s="52">
        <f>1.97/100000000</f>
        <v>1.97E-08</v>
      </c>
      <c r="F13" s="43">
        <f>(1*'Boiler Data'!$F$28)</f>
        <v>747.88</v>
      </c>
      <c r="G13" s="52">
        <f t="shared" si="4"/>
        <v>1.4733236E-05</v>
      </c>
      <c r="H13" s="52">
        <f t="shared" si="2"/>
        <v>14.733236</v>
      </c>
      <c r="I13" s="43">
        <v>0.2</v>
      </c>
      <c r="J13" s="45">
        <f t="shared" si="0"/>
        <v>2.9466472</v>
      </c>
      <c r="K13" s="167">
        <f t="shared" si="1"/>
        <v>14733236</v>
      </c>
      <c r="L13" s="167">
        <f>('Boiler Data'!$J$28*1000000)</f>
        <v>760000000</v>
      </c>
      <c r="M13" s="185">
        <f t="shared" si="3"/>
        <v>0.019385836842105264</v>
      </c>
      <c r="N13" s="177">
        <v>100</v>
      </c>
      <c r="O13" s="188">
        <v>100000</v>
      </c>
      <c r="P13" s="43"/>
    </row>
    <row r="14" spans="1:16" ht="12.75">
      <c r="A14" s="43" t="s">
        <v>1247</v>
      </c>
      <c r="B14" s="43" t="s">
        <v>1245</v>
      </c>
      <c r="C14" s="43" t="s">
        <v>1231</v>
      </c>
      <c r="D14" s="43">
        <v>20300</v>
      </c>
      <c r="E14" s="52">
        <f>4.8/1000000000</f>
        <v>4.8E-09</v>
      </c>
      <c r="F14" s="43">
        <f>(1*'Boiler Data'!$F$28)</f>
        <v>747.88</v>
      </c>
      <c r="G14" s="52">
        <f t="shared" si="4"/>
        <v>3.589824E-06</v>
      </c>
      <c r="H14" s="52">
        <f t="shared" si="2"/>
        <v>3.589824</v>
      </c>
      <c r="I14" s="43">
        <v>0.2</v>
      </c>
      <c r="J14" s="45">
        <f t="shared" si="0"/>
        <v>0.7179648000000001</v>
      </c>
      <c r="K14" s="167">
        <f t="shared" si="1"/>
        <v>3589824</v>
      </c>
      <c r="L14" s="167">
        <f>('Boiler Data'!$J$28*1000000)</f>
        <v>760000000</v>
      </c>
      <c r="M14" s="185">
        <f t="shared" si="3"/>
        <v>0.0047234526315789475</v>
      </c>
      <c r="N14" s="177">
        <v>0.1</v>
      </c>
      <c r="O14" s="187">
        <v>10</v>
      </c>
      <c r="P14" s="43"/>
    </row>
    <row r="15" spans="1:16" ht="14.25">
      <c r="A15" s="43" t="s">
        <v>1248</v>
      </c>
      <c r="B15" s="43" t="s">
        <v>1245</v>
      </c>
      <c r="C15" s="43" t="s">
        <v>1231</v>
      </c>
      <c r="D15" s="43">
        <v>2.06</v>
      </c>
      <c r="E15" s="52">
        <f>4.29/10000000</f>
        <v>4.29E-07</v>
      </c>
      <c r="F15" s="43">
        <f>(1*'Boiler Data'!$F$28)</f>
        <v>747.88</v>
      </c>
      <c r="G15" s="52">
        <f t="shared" si="4"/>
        <v>0.00032084052</v>
      </c>
      <c r="H15" s="52">
        <f t="shared" si="2"/>
        <v>320.84052</v>
      </c>
      <c r="I15" s="43">
        <v>0.2</v>
      </c>
      <c r="J15" s="45">
        <f t="shared" si="0"/>
        <v>64.16810400000001</v>
      </c>
      <c r="K15" s="167">
        <f t="shared" si="1"/>
        <v>320840520</v>
      </c>
      <c r="L15" s="167">
        <f>('Boiler Data'!$J$28*1000000)</f>
        <v>760000000</v>
      </c>
      <c r="M15" s="184">
        <f t="shared" si="3"/>
        <v>0.4221585789473684</v>
      </c>
      <c r="N15" s="177">
        <v>0.1</v>
      </c>
      <c r="O15" s="187">
        <v>10</v>
      </c>
      <c r="P15" s="43" t="s">
        <v>1006</v>
      </c>
    </row>
    <row r="16" spans="1:16" ht="14.25">
      <c r="A16" s="43" t="s">
        <v>1249</v>
      </c>
      <c r="B16" s="43" t="s">
        <v>1245</v>
      </c>
      <c r="C16" s="43" t="s">
        <v>1231</v>
      </c>
      <c r="D16" s="43">
        <v>30</v>
      </c>
      <c r="E16" s="52">
        <f>1.87/10000</f>
        <v>0.00018700000000000002</v>
      </c>
      <c r="F16" s="43">
        <f>(1*'Boiler Data'!$F$28)</f>
        <v>747.88</v>
      </c>
      <c r="G16" s="52">
        <f t="shared" si="4"/>
        <v>0.13985356000000002</v>
      </c>
      <c r="H16" s="52">
        <f t="shared" si="2"/>
        <v>139853.56000000003</v>
      </c>
      <c r="I16" s="43">
        <v>0.2</v>
      </c>
      <c r="J16" s="45">
        <f t="shared" si="0"/>
        <v>27970.712000000007</v>
      </c>
      <c r="K16" s="167">
        <f t="shared" si="1"/>
        <v>139853560000.00003</v>
      </c>
      <c r="L16" s="167">
        <f>('Boiler Data'!$J$28*1000000)</f>
        <v>760000000</v>
      </c>
      <c r="M16" s="184">
        <f t="shared" si="3"/>
        <v>184.01784210526318</v>
      </c>
      <c r="N16" s="177">
        <v>1</v>
      </c>
      <c r="O16" s="187">
        <v>10</v>
      </c>
      <c r="P16" s="43" t="s">
        <v>1006</v>
      </c>
    </row>
    <row r="17" spans="1:16" ht="14.25">
      <c r="A17" s="43" t="s">
        <v>1250</v>
      </c>
      <c r="B17" s="43" t="s">
        <v>1245</v>
      </c>
      <c r="C17" s="43" t="s">
        <v>1238</v>
      </c>
      <c r="D17" s="43">
        <v>13.3</v>
      </c>
      <c r="E17" s="52">
        <f>1.62/100000</f>
        <v>1.62E-05</v>
      </c>
      <c r="F17" s="43">
        <f>(1*'Boiler Data'!$F$28)</f>
        <v>747.88</v>
      </c>
      <c r="G17" s="52">
        <f t="shared" si="4"/>
        <v>0.012115656</v>
      </c>
      <c r="H17" s="52">
        <f t="shared" si="2"/>
        <v>12115.656</v>
      </c>
      <c r="I17" s="43">
        <v>0.2</v>
      </c>
      <c r="J17" s="45">
        <f t="shared" si="0"/>
        <v>2423.1312000000003</v>
      </c>
      <c r="K17" s="167">
        <f t="shared" si="1"/>
        <v>12115656000</v>
      </c>
      <c r="L17" s="167">
        <f>('Boiler Data'!$J$28*1000000)</f>
        <v>760000000</v>
      </c>
      <c r="M17" s="184">
        <f t="shared" si="3"/>
        <v>15.941652631578947</v>
      </c>
      <c r="N17" s="177">
        <v>0.1</v>
      </c>
      <c r="O17" s="187">
        <v>10</v>
      </c>
      <c r="P17" s="43" t="s">
        <v>1007</v>
      </c>
    </row>
    <row r="18" spans="1:16" ht="14.25">
      <c r="A18" s="43" t="s">
        <v>1251</v>
      </c>
      <c r="B18" s="43" t="s">
        <v>1245</v>
      </c>
      <c r="C18" s="43" t="s">
        <v>1231</v>
      </c>
      <c r="D18" s="43">
        <v>8.6</v>
      </c>
      <c r="E18" s="52">
        <f>6.83/10000000</f>
        <v>6.83E-07</v>
      </c>
      <c r="F18" s="43">
        <f>(1*'Boiler Data'!$F$28)</f>
        <v>747.88</v>
      </c>
      <c r="G18" s="52">
        <f t="shared" si="4"/>
        <v>0.0005108020399999999</v>
      </c>
      <c r="H18" s="52">
        <f t="shared" si="2"/>
        <v>510.8020399999999</v>
      </c>
      <c r="I18" s="43">
        <v>0.2</v>
      </c>
      <c r="J18" s="45">
        <f t="shared" si="0"/>
        <v>102.16040799999999</v>
      </c>
      <c r="K18" s="167">
        <f t="shared" si="1"/>
        <v>510802039.99999994</v>
      </c>
      <c r="L18" s="167">
        <f>('Boiler Data'!$J$28*1000000)</f>
        <v>760000000</v>
      </c>
      <c r="M18" s="184">
        <f t="shared" si="3"/>
        <v>0.6721079473684209</v>
      </c>
      <c r="N18" s="177">
        <v>0.1</v>
      </c>
      <c r="O18" s="187">
        <v>10</v>
      </c>
      <c r="P18" s="43" t="s">
        <v>1007</v>
      </c>
    </row>
    <row r="19" spans="1:16" ht="12.75">
      <c r="A19" s="43" t="s">
        <v>1252</v>
      </c>
      <c r="B19" s="43" t="s">
        <v>1245</v>
      </c>
      <c r="C19" s="43" t="s">
        <v>1231</v>
      </c>
      <c r="D19" s="43">
        <v>4.96</v>
      </c>
      <c r="E19" s="52">
        <f>9.04/1000000000</f>
        <v>9.039999999999999E-09</v>
      </c>
      <c r="F19" s="43">
        <f>(1*'Boiler Data'!$F$28)</f>
        <v>747.88</v>
      </c>
      <c r="G19" s="52">
        <f t="shared" si="4"/>
        <v>6.760835199999999E-06</v>
      </c>
      <c r="H19" s="52">
        <f t="shared" si="2"/>
        <v>6.760835199999999</v>
      </c>
      <c r="I19" s="43">
        <v>0.2</v>
      </c>
      <c r="J19" s="45">
        <f t="shared" si="0"/>
        <v>1.3521670399999999</v>
      </c>
      <c r="K19" s="167">
        <f t="shared" si="1"/>
        <v>6760835.199999999</v>
      </c>
      <c r="L19" s="167">
        <f>('Boiler Data'!$J$28*1000000)</f>
        <v>760000000</v>
      </c>
      <c r="M19" s="185">
        <f t="shared" si="3"/>
        <v>0.008895835789473684</v>
      </c>
      <c r="N19" s="177">
        <v>10</v>
      </c>
      <c r="O19" s="187">
        <v>100</v>
      </c>
      <c r="P19" s="43"/>
    </row>
    <row r="20" spans="1:10" ht="14.25">
      <c r="A20" s="179" t="s">
        <v>1100</v>
      </c>
      <c r="B20" s="179"/>
      <c r="C20" s="179"/>
      <c r="D20" s="179"/>
      <c r="E20" s="180">
        <f>1.9/100000000</f>
        <v>1.8999999999999998E-08</v>
      </c>
      <c r="F20" s="179">
        <f>(1*'Boiler Data'!$F$28)</f>
        <v>747.88</v>
      </c>
      <c r="G20" s="180">
        <f t="shared" si="4"/>
        <v>1.4209719999999999E-05</v>
      </c>
      <c r="H20" s="180">
        <f t="shared" si="2"/>
        <v>14.209719999999999</v>
      </c>
      <c r="I20" s="179">
        <v>9</v>
      </c>
      <c r="J20" s="181">
        <f t="shared" si="0"/>
        <v>127.88748</v>
      </c>
    </row>
    <row r="21" spans="1:10" ht="12.75">
      <c r="A21" s="179" t="s">
        <v>1254</v>
      </c>
      <c r="B21" s="179"/>
      <c r="C21" s="179"/>
      <c r="D21" s="179"/>
      <c r="E21" s="180">
        <f>4.2/10000</f>
        <v>0.00042</v>
      </c>
      <c r="F21" s="179">
        <f>(1*'Boiler Data'!$F$28)</f>
        <v>747.88</v>
      </c>
      <c r="G21" s="180">
        <f t="shared" si="4"/>
        <v>0.3141096</v>
      </c>
      <c r="H21" s="180">
        <f t="shared" si="2"/>
        <v>314109.6</v>
      </c>
      <c r="I21" s="179" t="s">
        <v>1192</v>
      </c>
      <c r="J21" s="180">
        <f>SUM(J4:J19)</f>
        <v>820143.9261964149</v>
      </c>
    </row>
    <row r="22" ht="12.75">
      <c r="A22" t="s">
        <v>1255</v>
      </c>
    </row>
    <row r="23" ht="12.75">
      <c r="A23" t="s">
        <v>1256</v>
      </c>
    </row>
    <row r="24" ht="12.75">
      <c r="A24" t="s">
        <v>1257</v>
      </c>
    </row>
    <row r="25" ht="12.75">
      <c r="A25" t="s">
        <v>1258</v>
      </c>
    </row>
    <row r="26" spans="1:8" ht="12.75">
      <c r="A26" s="182" t="s">
        <v>1259</v>
      </c>
      <c r="B26" s="182"/>
      <c r="C26" s="182"/>
      <c r="D26" s="182"/>
      <c r="E26" s="182"/>
      <c r="F26" s="182"/>
      <c r="G26" s="182"/>
      <c r="H26" s="182"/>
    </row>
    <row r="27" spans="1:8" ht="12.75">
      <c r="A27" s="182" t="s">
        <v>1215</v>
      </c>
      <c r="B27" s="182"/>
      <c r="C27" s="182"/>
      <c r="D27" s="182"/>
      <c r="E27" s="182"/>
      <c r="F27" s="182"/>
      <c r="G27" s="182"/>
      <c r="H27" s="182"/>
    </row>
    <row r="28" ht="12.75">
      <c r="A28" t="s">
        <v>1261</v>
      </c>
    </row>
    <row r="29" ht="12.75">
      <c r="A29" t="s">
        <v>1187</v>
      </c>
    </row>
    <row r="30" ht="12.75">
      <c r="A30" t="s">
        <v>1101</v>
      </c>
    </row>
    <row r="31" ht="12.75">
      <c r="A31" t="s">
        <v>1102</v>
      </c>
    </row>
    <row r="33" ht="12.75">
      <c r="A33" s="1" t="s">
        <v>1189</v>
      </c>
    </row>
    <row r="35" spans="1:16" ht="65.25">
      <c r="A35" s="44" t="s">
        <v>1228</v>
      </c>
      <c r="B35" s="44" t="s">
        <v>494</v>
      </c>
      <c r="C35" s="44" t="s">
        <v>1230</v>
      </c>
      <c r="D35" s="44" t="s">
        <v>1009</v>
      </c>
      <c r="E35" s="44" t="s">
        <v>1260</v>
      </c>
      <c r="F35" s="44" t="s">
        <v>1105</v>
      </c>
      <c r="G35" s="44" t="s">
        <v>1235</v>
      </c>
      <c r="H35" s="44" t="s">
        <v>1185</v>
      </c>
      <c r="I35" s="44" t="s">
        <v>1186</v>
      </c>
      <c r="J35" s="44" t="s">
        <v>1188</v>
      </c>
      <c r="K35" s="70" t="s">
        <v>1217</v>
      </c>
      <c r="L35" s="178" t="s">
        <v>1097</v>
      </c>
      <c r="M35" s="178" t="s">
        <v>1103</v>
      </c>
      <c r="N35" s="175" t="s">
        <v>1106</v>
      </c>
      <c r="O35" s="187" t="s">
        <v>1107</v>
      </c>
      <c r="P35" s="178" t="s">
        <v>1002</v>
      </c>
    </row>
    <row r="36" spans="1:16" ht="12.75">
      <c r="A36" s="166" t="s">
        <v>1229</v>
      </c>
      <c r="B36" s="166" t="s">
        <v>1232</v>
      </c>
      <c r="C36" s="166" t="s">
        <v>1231</v>
      </c>
      <c r="D36" s="166">
        <v>12.3</v>
      </c>
      <c r="E36" s="167">
        <f>4.6/10000000</f>
        <v>4.6E-07</v>
      </c>
      <c r="F36" s="166">
        <f>(1*'Boiler Data'!$F$4)</f>
        <v>2974.0519999999997</v>
      </c>
      <c r="G36" s="167">
        <f>(F36*E36)</f>
        <v>0.0013680639199999999</v>
      </c>
      <c r="H36" s="167">
        <f>1000000*G36</f>
        <v>1368.0639199999998</v>
      </c>
      <c r="I36" s="166">
        <v>0.01</v>
      </c>
      <c r="J36" s="168">
        <f aca="true" t="shared" si="5" ref="J36:J54">I36*H36</f>
        <v>13.680639199999998</v>
      </c>
      <c r="K36" s="167">
        <f aca="true" t="shared" si="6" ref="K36:K53">(H36*1000000)</f>
        <v>1368063919.9999998</v>
      </c>
      <c r="L36" s="167">
        <f>('Boiler Data'!$J$28*1000000)</f>
        <v>760000000</v>
      </c>
      <c r="M36" s="183">
        <f aca="true" t="shared" si="7" ref="M36:M53">(K36/L36)</f>
        <v>1.8000841052631575</v>
      </c>
      <c r="N36" s="176">
        <v>100</v>
      </c>
      <c r="O36" s="188">
        <v>10000000</v>
      </c>
      <c r="P36" s="43" t="s">
        <v>1003</v>
      </c>
    </row>
    <row r="37" spans="1:16" ht="12.75">
      <c r="A37" s="166" t="s">
        <v>1234</v>
      </c>
      <c r="B37" s="166" t="s">
        <v>1232</v>
      </c>
      <c r="C37" s="166" t="s">
        <v>1231</v>
      </c>
      <c r="D37" s="166">
        <v>5730</v>
      </c>
      <c r="E37" s="167">
        <f>3.2/1000000</f>
        <v>3.2000000000000003E-06</v>
      </c>
      <c r="F37" s="166">
        <f>(1*'Boiler Data'!$F$4)</f>
        <v>2974.0519999999997</v>
      </c>
      <c r="G37" s="167">
        <f>(F37*E37)</f>
        <v>0.0095169664</v>
      </c>
      <c r="H37" s="167">
        <f aca="true" t="shared" si="8" ref="H37:H57">1000000*G37</f>
        <v>9516.9664</v>
      </c>
      <c r="I37" s="166">
        <v>55</v>
      </c>
      <c r="J37" s="167">
        <f t="shared" si="5"/>
        <v>523433.15199999994</v>
      </c>
      <c r="K37" s="167">
        <f t="shared" si="6"/>
        <v>9516966400</v>
      </c>
      <c r="L37" s="167">
        <f>('Boiler Data'!$J$28*1000000)</f>
        <v>760000000</v>
      </c>
      <c r="M37" s="163">
        <f t="shared" si="7"/>
        <v>12.522324210526316</v>
      </c>
      <c r="N37" s="176">
        <v>10</v>
      </c>
      <c r="O37" s="188">
        <v>100000</v>
      </c>
      <c r="P37" s="43"/>
    </row>
    <row r="38" spans="1:16" ht="12.75">
      <c r="A38" s="166" t="s">
        <v>1236</v>
      </c>
      <c r="B38" s="166" t="s">
        <v>1232</v>
      </c>
      <c r="C38" s="166" t="s">
        <v>1231</v>
      </c>
      <c r="D38" s="169">
        <v>302000</v>
      </c>
      <c r="E38" s="167">
        <f>4.6/10000000</f>
        <v>4.6E-07</v>
      </c>
      <c r="F38" s="166">
        <f>(1*'Boiler Data'!$F$4)</f>
        <v>2974.0519999999997</v>
      </c>
      <c r="G38" s="167">
        <f aca="true" t="shared" si="9" ref="G38:G55">(F38*E38)</f>
        <v>0.0013680639199999999</v>
      </c>
      <c r="H38" s="167">
        <f t="shared" si="8"/>
        <v>1368.0639199999998</v>
      </c>
      <c r="I38" s="166">
        <v>0.2</v>
      </c>
      <c r="J38" s="168">
        <f t="shared" si="5"/>
        <v>273.612784</v>
      </c>
      <c r="K38" s="167">
        <f t="shared" si="6"/>
        <v>1368063919.9999998</v>
      </c>
      <c r="L38" s="167">
        <f>('Boiler Data'!$J$28*1000000)</f>
        <v>760000000</v>
      </c>
      <c r="M38" s="163">
        <f t="shared" si="7"/>
        <v>1.8000841052631575</v>
      </c>
      <c r="N38" s="176">
        <v>1</v>
      </c>
      <c r="O38" s="188">
        <v>100000</v>
      </c>
      <c r="P38" s="43"/>
    </row>
    <row r="39" spans="1:16" ht="12.75">
      <c r="A39" s="43" t="s">
        <v>1237</v>
      </c>
      <c r="B39" s="43" t="s">
        <v>1232</v>
      </c>
      <c r="C39" s="43" t="s">
        <v>1238</v>
      </c>
      <c r="D39" s="43">
        <v>103000</v>
      </c>
      <c r="E39" s="52">
        <v>0</v>
      </c>
      <c r="F39" s="169">
        <f>(1*'Boiler Data'!$F$4)</f>
        <v>2974.0519999999997</v>
      </c>
      <c r="G39" s="52">
        <f t="shared" si="9"/>
        <v>0</v>
      </c>
      <c r="H39" s="52">
        <f t="shared" si="8"/>
        <v>0</v>
      </c>
      <c r="I39" s="43">
        <v>0.2</v>
      </c>
      <c r="J39" s="45">
        <f t="shared" si="5"/>
        <v>0</v>
      </c>
      <c r="K39" s="167">
        <f t="shared" si="6"/>
        <v>0</v>
      </c>
      <c r="L39" s="167">
        <f>('Boiler Data'!$J$28*1000000)</f>
        <v>760000000</v>
      </c>
      <c r="M39" s="166">
        <f t="shared" si="7"/>
        <v>0</v>
      </c>
      <c r="N39" s="176" t="s">
        <v>1099</v>
      </c>
      <c r="O39" s="187" t="s">
        <v>1099</v>
      </c>
      <c r="P39" s="43"/>
    </row>
    <row r="40" spans="1:16" ht="14.25">
      <c r="A40" s="43" t="s">
        <v>1239</v>
      </c>
      <c r="B40" s="43" t="s">
        <v>1232</v>
      </c>
      <c r="C40" s="43" t="s">
        <v>1238</v>
      </c>
      <c r="D40" s="43">
        <v>0.856</v>
      </c>
      <c r="E40" s="52">
        <v>0</v>
      </c>
      <c r="F40" s="169">
        <f>(1*'Boiler Data'!$F$4)</f>
        <v>2974.0519999999997</v>
      </c>
      <c r="G40" s="52">
        <f t="shared" si="9"/>
        <v>0</v>
      </c>
      <c r="H40" s="52">
        <f t="shared" si="8"/>
        <v>0</v>
      </c>
      <c r="I40" s="43">
        <v>0.2</v>
      </c>
      <c r="J40" s="45">
        <f t="shared" si="5"/>
        <v>0</v>
      </c>
      <c r="K40" s="167">
        <f t="shared" si="6"/>
        <v>0</v>
      </c>
      <c r="L40" s="167">
        <f>('Boiler Data'!$J$28*1000000)</f>
        <v>760000000</v>
      </c>
      <c r="M40" s="183">
        <f t="shared" si="7"/>
        <v>0</v>
      </c>
      <c r="N40" s="176">
        <v>0.1</v>
      </c>
      <c r="O40" s="187">
        <v>10</v>
      </c>
      <c r="P40" s="43" t="s">
        <v>1004</v>
      </c>
    </row>
    <row r="41" spans="1:16" ht="12.75">
      <c r="A41" s="43" t="s">
        <v>1240</v>
      </c>
      <c r="B41" s="43" t="s">
        <v>1232</v>
      </c>
      <c r="C41" s="43" t="s">
        <v>1238</v>
      </c>
      <c r="D41" s="43">
        <v>2.7</v>
      </c>
      <c r="E41" s="52">
        <v>0</v>
      </c>
      <c r="F41" s="169">
        <f>(1*'Boiler Data'!$F$4)</f>
        <v>2974.0519999999997</v>
      </c>
      <c r="G41" s="52">
        <f t="shared" si="9"/>
        <v>0</v>
      </c>
      <c r="H41" s="52">
        <f t="shared" si="8"/>
        <v>0</v>
      </c>
      <c r="I41" s="43">
        <v>0.2</v>
      </c>
      <c r="J41" s="45">
        <f t="shared" si="5"/>
        <v>0</v>
      </c>
      <c r="K41" s="167">
        <f t="shared" si="6"/>
        <v>0</v>
      </c>
      <c r="L41" s="167">
        <f>('Boiler Data'!$J$28*1000000)</f>
        <v>760000000</v>
      </c>
      <c r="M41" s="183">
        <f t="shared" si="7"/>
        <v>0</v>
      </c>
      <c r="N41" s="176">
        <v>100</v>
      </c>
      <c r="O41" s="188">
        <v>100000</v>
      </c>
      <c r="P41" s="43"/>
    </row>
    <row r="42" spans="1:16" ht="14.25">
      <c r="A42" s="43" t="s">
        <v>1241</v>
      </c>
      <c r="B42" s="43" t="s">
        <v>1232</v>
      </c>
      <c r="C42" s="43" t="s">
        <v>1231</v>
      </c>
      <c r="D42" s="43">
        <v>5.7</v>
      </c>
      <c r="E42" s="52">
        <v>0</v>
      </c>
      <c r="F42" s="169">
        <f>(1*'Boiler Data'!$F$4)</f>
        <v>2974.0519999999997</v>
      </c>
      <c r="G42" s="52">
        <f t="shared" si="9"/>
        <v>0</v>
      </c>
      <c r="H42" s="52">
        <f t="shared" si="8"/>
        <v>0</v>
      </c>
      <c r="I42" s="43">
        <v>0.2</v>
      </c>
      <c r="J42" s="45">
        <f t="shared" si="5"/>
        <v>0</v>
      </c>
      <c r="K42" s="167">
        <f t="shared" si="6"/>
        <v>0</v>
      </c>
      <c r="L42" s="167">
        <f>('Boiler Data'!$J$28*1000000)</f>
        <v>760000000</v>
      </c>
      <c r="M42" s="183">
        <f t="shared" si="7"/>
        <v>0</v>
      </c>
      <c r="N42" s="176">
        <v>0.1</v>
      </c>
      <c r="O42" s="187">
        <v>10</v>
      </c>
      <c r="P42" s="43" t="s">
        <v>1005</v>
      </c>
    </row>
    <row r="43" spans="1:16" ht="12.75">
      <c r="A43" s="43" t="s">
        <v>1242</v>
      </c>
      <c r="B43" s="43" t="s">
        <v>1232</v>
      </c>
      <c r="C43" s="43" t="s">
        <v>1238</v>
      </c>
      <c r="D43" s="43">
        <v>74900</v>
      </c>
      <c r="E43" s="52">
        <f>9.3/1000000000</f>
        <v>9.3E-09</v>
      </c>
      <c r="F43" s="169">
        <f>(1*'Boiler Data'!$F$4)</f>
        <v>2974.0519999999997</v>
      </c>
      <c r="G43" s="52">
        <f t="shared" si="9"/>
        <v>2.76586836E-05</v>
      </c>
      <c r="H43" s="52">
        <f t="shared" si="8"/>
        <v>27.6586836</v>
      </c>
      <c r="I43" s="43">
        <v>0.2</v>
      </c>
      <c r="J43" s="45">
        <f t="shared" si="5"/>
        <v>5.5317367200000005</v>
      </c>
      <c r="K43" s="167">
        <f t="shared" si="6"/>
        <v>27658683.6</v>
      </c>
      <c r="L43" s="167">
        <f>('Boiler Data'!$J$28*1000000)</f>
        <v>760000000</v>
      </c>
      <c r="M43" s="183">
        <f t="shared" si="7"/>
        <v>0.03639300473684211</v>
      </c>
      <c r="N43" s="176">
        <v>100</v>
      </c>
      <c r="O43" s="188">
        <v>100000</v>
      </c>
      <c r="P43" s="43"/>
    </row>
    <row r="44" spans="1:16" ht="12.75">
      <c r="A44" s="43" t="s">
        <v>1243</v>
      </c>
      <c r="B44" s="43" t="s">
        <v>1232</v>
      </c>
      <c r="C44" s="43" t="s">
        <v>1231</v>
      </c>
      <c r="D44" s="43">
        <v>100</v>
      </c>
      <c r="E44" s="52">
        <f>4.6/10000000</f>
        <v>4.6E-07</v>
      </c>
      <c r="F44" s="169">
        <f>(1*'Boiler Data'!$F$4)</f>
        <v>2974.0519999999997</v>
      </c>
      <c r="G44" s="52">
        <f t="shared" si="9"/>
        <v>0.0013680639199999999</v>
      </c>
      <c r="H44" s="52">
        <f t="shared" si="8"/>
        <v>1368.0639199999998</v>
      </c>
      <c r="I44" s="43">
        <v>0.2</v>
      </c>
      <c r="J44" s="45">
        <f t="shared" si="5"/>
        <v>273.612784</v>
      </c>
      <c r="K44" s="167">
        <f t="shared" si="6"/>
        <v>1368063919.9999998</v>
      </c>
      <c r="L44" s="167">
        <f>('Boiler Data'!$J$28*1000000)</f>
        <v>760000000</v>
      </c>
      <c r="M44" s="183">
        <f t="shared" si="7"/>
        <v>1.8000841052631575</v>
      </c>
      <c r="N44" s="176">
        <v>100</v>
      </c>
      <c r="O44" s="188">
        <v>1000000</v>
      </c>
      <c r="P44" s="43"/>
    </row>
    <row r="45" spans="1:16" ht="12.75">
      <c r="A45" s="43" t="s">
        <v>1244</v>
      </c>
      <c r="B45" s="43" t="s">
        <v>1245</v>
      </c>
      <c r="C45" s="43" t="s">
        <v>1246</v>
      </c>
      <c r="D45" s="43">
        <v>16.4</v>
      </c>
      <c r="E45" s="52">
        <v>0</v>
      </c>
      <c r="F45" s="169">
        <f>(1*'Boiler Data'!$F$4)</f>
        <v>2974.0519999999997</v>
      </c>
      <c r="G45" s="52">
        <f t="shared" si="9"/>
        <v>0</v>
      </c>
      <c r="H45" s="52">
        <f t="shared" si="8"/>
        <v>0</v>
      </c>
      <c r="I45" s="43">
        <v>0.2</v>
      </c>
      <c r="J45" s="45">
        <f t="shared" si="5"/>
        <v>0</v>
      </c>
      <c r="K45" s="167">
        <f t="shared" si="6"/>
        <v>0</v>
      </c>
      <c r="L45" s="167">
        <f>('Boiler Data'!$J$28*1000000)</f>
        <v>760000000</v>
      </c>
      <c r="M45" s="183">
        <f t="shared" si="7"/>
        <v>0</v>
      </c>
      <c r="N45" s="176">
        <v>100</v>
      </c>
      <c r="O45" s="188">
        <v>100000</v>
      </c>
      <c r="P45" s="43"/>
    </row>
    <row r="46" spans="1:16" ht="12.75">
      <c r="A46" s="43" t="s">
        <v>1247</v>
      </c>
      <c r="B46" s="43" t="s">
        <v>1245</v>
      </c>
      <c r="C46" s="43" t="s">
        <v>1231</v>
      </c>
      <c r="D46" s="43">
        <v>20300</v>
      </c>
      <c r="E46" s="52">
        <f>3.2/1000000000</f>
        <v>3.2E-09</v>
      </c>
      <c r="F46" s="169">
        <f>(1*'Boiler Data'!$F$4)</f>
        <v>2974.0519999999997</v>
      </c>
      <c r="G46" s="52">
        <f t="shared" si="9"/>
        <v>9.516966399999999E-06</v>
      </c>
      <c r="H46" s="52">
        <f t="shared" si="8"/>
        <v>9.5169664</v>
      </c>
      <c r="I46" s="43">
        <v>0.2</v>
      </c>
      <c r="J46" s="45">
        <f t="shared" si="5"/>
        <v>1.90339328</v>
      </c>
      <c r="K46" s="167">
        <f t="shared" si="6"/>
        <v>9516966.399999999</v>
      </c>
      <c r="L46" s="167">
        <f>('Boiler Data'!$J$28*1000000)</f>
        <v>760000000</v>
      </c>
      <c r="M46" s="183">
        <f t="shared" si="7"/>
        <v>0.012522324210526313</v>
      </c>
      <c r="N46" s="176">
        <v>0.1</v>
      </c>
      <c r="O46" s="187">
        <v>10</v>
      </c>
      <c r="P46" s="43"/>
    </row>
    <row r="47" spans="1:16" ht="14.25">
      <c r="A47" s="43" t="s">
        <v>1248</v>
      </c>
      <c r="B47" s="43" t="s">
        <v>1245</v>
      </c>
      <c r="C47" s="43" t="s">
        <v>1231</v>
      </c>
      <c r="D47" s="43">
        <v>2.06</v>
      </c>
      <c r="E47" s="52">
        <v>0</v>
      </c>
      <c r="F47" s="169">
        <f>(1*'Boiler Data'!$F$4)</f>
        <v>2974.0519999999997</v>
      </c>
      <c r="G47" s="52">
        <f t="shared" si="9"/>
        <v>0</v>
      </c>
      <c r="H47" s="52">
        <f t="shared" si="8"/>
        <v>0</v>
      </c>
      <c r="I47" s="43">
        <v>0.2</v>
      </c>
      <c r="J47" s="45">
        <f t="shared" si="5"/>
        <v>0</v>
      </c>
      <c r="K47" s="167">
        <f t="shared" si="6"/>
        <v>0</v>
      </c>
      <c r="L47" s="167">
        <f>('Boiler Data'!$J$28*1000000)</f>
        <v>760000000</v>
      </c>
      <c r="M47" s="183">
        <f t="shared" si="7"/>
        <v>0</v>
      </c>
      <c r="N47" s="176">
        <v>0.1</v>
      </c>
      <c r="O47" s="187">
        <v>10</v>
      </c>
      <c r="P47" s="43" t="s">
        <v>1006</v>
      </c>
    </row>
    <row r="48" spans="1:16" ht="14.25">
      <c r="A48" s="43" t="s">
        <v>1249</v>
      </c>
      <c r="B48" s="43" t="s">
        <v>1245</v>
      </c>
      <c r="C48" s="43" t="s">
        <v>1231</v>
      </c>
      <c r="D48" s="43">
        <v>30</v>
      </c>
      <c r="E48" s="52">
        <f>9.3/1000000000</f>
        <v>9.3E-09</v>
      </c>
      <c r="F48" s="169">
        <f>(1*'Boiler Data'!$F$4)</f>
        <v>2974.0519999999997</v>
      </c>
      <c r="G48" s="52">
        <f t="shared" si="9"/>
        <v>2.76586836E-05</v>
      </c>
      <c r="H48" s="52">
        <f t="shared" si="8"/>
        <v>27.6586836</v>
      </c>
      <c r="I48" s="43">
        <v>0.2</v>
      </c>
      <c r="J48" s="45">
        <f t="shared" si="5"/>
        <v>5.5317367200000005</v>
      </c>
      <c r="K48" s="167">
        <f t="shared" si="6"/>
        <v>27658683.6</v>
      </c>
      <c r="L48" s="167">
        <f>('Boiler Data'!$J$28*1000000)</f>
        <v>760000000</v>
      </c>
      <c r="M48" s="183">
        <f t="shared" si="7"/>
        <v>0.03639300473684211</v>
      </c>
      <c r="N48" s="176">
        <v>1</v>
      </c>
      <c r="O48" s="187">
        <v>10</v>
      </c>
      <c r="P48" s="43" t="s">
        <v>1006</v>
      </c>
    </row>
    <row r="49" spans="1:16" ht="14.25">
      <c r="A49" s="43" t="s">
        <v>1250</v>
      </c>
      <c r="B49" s="43" t="s">
        <v>1245</v>
      </c>
      <c r="C49" s="43" t="s">
        <v>1238</v>
      </c>
      <c r="D49" s="43">
        <v>13.3</v>
      </c>
      <c r="E49" s="52">
        <v>0</v>
      </c>
      <c r="F49" s="169">
        <f>(1*'Boiler Data'!$F$4)</f>
        <v>2974.0519999999997</v>
      </c>
      <c r="G49" s="52">
        <f t="shared" si="9"/>
        <v>0</v>
      </c>
      <c r="H49" s="52">
        <f t="shared" si="8"/>
        <v>0</v>
      </c>
      <c r="I49" s="43">
        <v>0.2</v>
      </c>
      <c r="J49" s="45">
        <f t="shared" si="5"/>
        <v>0</v>
      </c>
      <c r="K49" s="167">
        <f t="shared" si="6"/>
        <v>0</v>
      </c>
      <c r="L49" s="167">
        <f>('Boiler Data'!$J$28*1000000)</f>
        <v>760000000</v>
      </c>
      <c r="M49" s="183">
        <f t="shared" si="7"/>
        <v>0</v>
      </c>
      <c r="N49" s="176">
        <v>0.1</v>
      </c>
      <c r="O49" s="187">
        <v>10</v>
      </c>
      <c r="P49" s="43" t="s">
        <v>1007</v>
      </c>
    </row>
    <row r="50" spans="1:16" ht="14.25">
      <c r="A50" s="43" t="s">
        <v>1251</v>
      </c>
      <c r="B50" s="43" t="s">
        <v>1245</v>
      </c>
      <c r="C50" s="43" t="s">
        <v>1231</v>
      </c>
      <c r="D50" s="43">
        <v>8.6</v>
      </c>
      <c r="E50" s="52">
        <v>0</v>
      </c>
      <c r="F50" s="169">
        <f>(1*'Boiler Data'!$F$4)</f>
        <v>2974.0519999999997</v>
      </c>
      <c r="G50" s="52">
        <f t="shared" si="9"/>
        <v>0</v>
      </c>
      <c r="H50" s="52">
        <f t="shared" si="8"/>
        <v>0</v>
      </c>
      <c r="I50" s="43">
        <v>0.2</v>
      </c>
      <c r="J50" s="45">
        <f t="shared" si="5"/>
        <v>0</v>
      </c>
      <c r="K50" s="167">
        <f t="shared" si="6"/>
        <v>0</v>
      </c>
      <c r="L50" s="167">
        <f>('Boiler Data'!$J$28*1000000)</f>
        <v>760000000</v>
      </c>
      <c r="M50" s="183">
        <f t="shared" si="7"/>
        <v>0</v>
      </c>
      <c r="N50" s="176">
        <v>0.1</v>
      </c>
      <c r="O50" s="187">
        <v>10</v>
      </c>
      <c r="P50" s="43" t="s">
        <v>1007</v>
      </c>
    </row>
    <row r="51" spans="1:16" ht="12.75">
      <c r="A51" s="43" t="s">
        <v>1252</v>
      </c>
      <c r="B51" s="43" t="s">
        <v>1245</v>
      </c>
      <c r="C51" s="43" t="s">
        <v>1231</v>
      </c>
      <c r="D51" s="43">
        <v>4.96</v>
      </c>
      <c r="E51" s="52">
        <v>0</v>
      </c>
      <c r="F51" s="169">
        <f>(1*'Boiler Data'!$F$4)</f>
        <v>2974.0519999999997</v>
      </c>
      <c r="G51" s="52">
        <f t="shared" si="9"/>
        <v>0</v>
      </c>
      <c r="H51" s="52">
        <f t="shared" si="8"/>
        <v>0</v>
      </c>
      <c r="I51" s="43">
        <v>0.2</v>
      </c>
      <c r="J51" s="45">
        <f t="shared" si="5"/>
        <v>0</v>
      </c>
      <c r="K51" s="167">
        <f t="shared" si="6"/>
        <v>0</v>
      </c>
      <c r="L51" s="167">
        <f>('Boiler Data'!$J$28*1000000)</f>
        <v>760000000</v>
      </c>
      <c r="M51" s="183">
        <f t="shared" si="7"/>
        <v>0</v>
      </c>
      <c r="N51" s="176">
        <v>10</v>
      </c>
      <c r="O51" s="187">
        <v>100</v>
      </c>
      <c r="P51" s="43"/>
    </row>
    <row r="52" spans="1:16" ht="12.75">
      <c r="A52" s="43" t="s">
        <v>1190</v>
      </c>
      <c r="B52" s="43" t="s">
        <v>1245</v>
      </c>
      <c r="C52" s="43" t="s">
        <v>1231</v>
      </c>
      <c r="D52" s="43">
        <v>1020</v>
      </c>
      <c r="E52" s="52">
        <f>4.2/10000000</f>
        <v>4.2E-07</v>
      </c>
      <c r="F52" s="169">
        <f>(1*'Boiler Data'!$F$4)</f>
        <v>2974.0519999999997</v>
      </c>
      <c r="G52" s="52">
        <f t="shared" si="9"/>
        <v>0.00124910184</v>
      </c>
      <c r="H52" s="52">
        <f t="shared" si="8"/>
        <v>1249.10184</v>
      </c>
      <c r="I52" s="43">
        <v>0.2</v>
      </c>
      <c r="J52" s="45">
        <f t="shared" si="5"/>
        <v>249.82036800000003</v>
      </c>
      <c r="K52" s="167">
        <f t="shared" si="6"/>
        <v>1249101840</v>
      </c>
      <c r="L52" s="167">
        <f>('Boiler Data'!$J$28*1000000)</f>
        <v>760000000</v>
      </c>
      <c r="M52" s="183">
        <f t="shared" si="7"/>
        <v>1.643555052631579</v>
      </c>
      <c r="N52" s="176">
        <v>10</v>
      </c>
      <c r="O52" s="189">
        <v>1000</v>
      </c>
      <c r="P52" s="43"/>
    </row>
    <row r="53" spans="1:16" ht="25.5">
      <c r="A53" s="191" t="s">
        <v>1191</v>
      </c>
      <c r="B53" s="191" t="s">
        <v>1245</v>
      </c>
      <c r="C53" s="55" t="s">
        <v>1193</v>
      </c>
      <c r="D53" s="55">
        <v>433</v>
      </c>
      <c r="E53" s="191">
        <f>1.9/1000000000</f>
        <v>1.9E-09</v>
      </c>
      <c r="F53" s="192">
        <f>(1*'Boiler Data'!$F$4)</f>
        <v>2974.0519999999997</v>
      </c>
      <c r="G53" s="193">
        <f t="shared" si="9"/>
        <v>5.6506988E-06</v>
      </c>
      <c r="H53" s="193">
        <f t="shared" si="8"/>
        <v>5.6506988</v>
      </c>
      <c r="I53" s="191">
        <v>9</v>
      </c>
      <c r="J53" s="194">
        <f t="shared" si="5"/>
        <v>50.8562892</v>
      </c>
      <c r="K53" s="195">
        <f t="shared" si="6"/>
        <v>5650698.8</v>
      </c>
      <c r="L53" s="195">
        <f>('Boiler Data'!$J$28*1000000)</f>
        <v>760000000</v>
      </c>
      <c r="M53" s="196">
        <f t="shared" si="7"/>
        <v>0.00743513</v>
      </c>
      <c r="N53" s="197">
        <v>0.1</v>
      </c>
      <c r="O53" s="198">
        <v>1</v>
      </c>
      <c r="P53" s="191"/>
    </row>
    <row r="54" spans="1:10" ht="12.75">
      <c r="A54" s="43" t="s">
        <v>1253</v>
      </c>
      <c r="B54" s="43"/>
      <c r="C54" s="43"/>
      <c r="D54" s="43"/>
      <c r="E54" s="52">
        <f>1.9/1000000000</f>
        <v>1.9E-09</v>
      </c>
      <c r="F54" s="169">
        <f>(1*'Boiler Data'!$F$4)</f>
        <v>2974.0519999999997</v>
      </c>
      <c r="G54" s="52">
        <f t="shared" si="9"/>
        <v>5.6506988E-06</v>
      </c>
      <c r="H54" s="52">
        <f t="shared" si="8"/>
        <v>5.6506988</v>
      </c>
      <c r="I54" s="43">
        <v>9</v>
      </c>
      <c r="J54" s="45">
        <f t="shared" si="5"/>
        <v>50.8562892</v>
      </c>
    </row>
    <row r="55" spans="1:10" ht="12.75">
      <c r="A55" s="43" t="s">
        <v>1254</v>
      </c>
      <c r="B55" s="43"/>
      <c r="C55" s="43"/>
      <c r="D55" s="43"/>
      <c r="E55" s="52">
        <f>5/1000000</f>
        <v>5E-06</v>
      </c>
      <c r="F55" s="169">
        <f>(1*'Boiler Data'!$F$4)</f>
        <v>2974.0519999999997</v>
      </c>
      <c r="G55" s="52">
        <f t="shared" si="9"/>
        <v>0.01487026</v>
      </c>
      <c r="H55" s="52">
        <f t="shared" si="8"/>
        <v>14870.26</v>
      </c>
      <c r="I55" s="43" t="s">
        <v>1192</v>
      </c>
      <c r="J55" s="52">
        <f>SUM(J36:J53)</f>
        <v>524307.70173112</v>
      </c>
    </row>
    <row r="56" spans="1:10" ht="38.25">
      <c r="A56" s="44" t="s">
        <v>1183</v>
      </c>
      <c r="B56" s="42"/>
      <c r="C56" s="42"/>
      <c r="D56" s="42"/>
      <c r="E56" s="165"/>
      <c r="F56" s="42"/>
      <c r="G56" s="165">
        <f>1*G54</f>
        <v>5.6506988E-06</v>
      </c>
      <c r="H56" s="165">
        <f t="shared" si="8"/>
        <v>5.6506988</v>
      </c>
      <c r="I56" s="42">
        <v>9</v>
      </c>
      <c r="J56" s="50">
        <f>I56*H56</f>
        <v>50.8562892</v>
      </c>
    </row>
    <row r="57" spans="1:10" ht="25.5">
      <c r="A57" s="44" t="s">
        <v>1184</v>
      </c>
      <c r="B57" s="42"/>
      <c r="C57" s="42"/>
      <c r="D57" s="42"/>
      <c r="E57" s="165"/>
      <c r="F57" s="42"/>
      <c r="G57" s="165">
        <f>(G55-G38-G37-G36)</f>
        <v>0.0026171657600000007</v>
      </c>
      <c r="H57" s="165">
        <f t="shared" si="8"/>
        <v>2617.165760000001</v>
      </c>
      <c r="I57" s="42" t="s">
        <v>1192</v>
      </c>
      <c r="J57" s="165">
        <f>SUM(J36:J53)</f>
        <v>524307.70173112</v>
      </c>
    </row>
    <row r="58" ht="12.75">
      <c r="A58" s="190" t="s">
        <v>980</v>
      </c>
    </row>
    <row r="59" ht="12.75">
      <c r="A59" s="190" t="s">
        <v>1001</v>
      </c>
    </row>
    <row r="60" ht="12.75">
      <c r="A60" s="190" t="s">
        <v>1008</v>
      </c>
    </row>
    <row r="62" ht="12.75">
      <c r="A62" s="1" t="s">
        <v>1426</v>
      </c>
    </row>
    <row r="63" spans="1:11" ht="25.5">
      <c r="A63" s="44" t="s">
        <v>1228</v>
      </c>
      <c r="B63" s="251" t="s">
        <v>1423</v>
      </c>
      <c r="C63" s="251" t="s">
        <v>1425</v>
      </c>
      <c r="D63" s="256" t="s">
        <v>1424</v>
      </c>
      <c r="E63" s="260" t="s">
        <v>758</v>
      </c>
      <c r="F63" s="260" t="s">
        <v>757</v>
      </c>
      <c r="G63" s="260" t="s">
        <v>759</v>
      </c>
      <c r="H63" s="44" t="s">
        <v>494</v>
      </c>
      <c r="I63" s="44" t="s">
        <v>1230</v>
      </c>
      <c r="J63" s="44" t="s">
        <v>1009</v>
      </c>
      <c r="K63" s="254" t="s">
        <v>760</v>
      </c>
    </row>
    <row r="64" spans="1:11" ht="12.75">
      <c r="A64" s="166" t="s">
        <v>1229</v>
      </c>
      <c r="B64" s="52">
        <v>12000000000</v>
      </c>
      <c r="C64" s="252">
        <v>6900000000</v>
      </c>
      <c r="D64" s="257">
        <v>44000000</v>
      </c>
      <c r="E64" s="52"/>
      <c r="F64" s="52"/>
      <c r="G64" s="52"/>
      <c r="H64" s="166" t="s">
        <v>1232</v>
      </c>
      <c r="I64" s="166" t="s">
        <v>1231</v>
      </c>
      <c r="J64" s="166">
        <v>12.3</v>
      </c>
      <c r="K64">
        <v>10</v>
      </c>
    </row>
    <row r="65" spans="1:11" ht="12.75">
      <c r="A65" s="48" t="s">
        <v>1234</v>
      </c>
      <c r="B65" s="49">
        <v>680000000</v>
      </c>
      <c r="C65" s="49">
        <v>680000000</v>
      </c>
      <c r="D65" s="258">
        <v>670000000</v>
      </c>
      <c r="E65" s="49">
        <f>2^(-K66/J65)*B65</f>
        <v>602522316.089511</v>
      </c>
      <c r="F65" s="49">
        <f>2^(-K67/J65)*B65</f>
        <v>202838856.7681257</v>
      </c>
      <c r="G65" s="49">
        <f>2^(-K68/J65)*B65</f>
        <v>3792.5501032600832</v>
      </c>
      <c r="H65" s="48" t="s">
        <v>1232</v>
      </c>
      <c r="I65" s="48" t="s">
        <v>1231</v>
      </c>
      <c r="J65" s="48">
        <v>5730</v>
      </c>
      <c r="K65">
        <v>100</v>
      </c>
    </row>
    <row r="66" spans="1:11" ht="12.75">
      <c r="A66" s="48" t="s">
        <v>1236</v>
      </c>
      <c r="B66" s="49">
        <v>100000000</v>
      </c>
      <c r="C66" s="49">
        <v>100000000</v>
      </c>
      <c r="D66" s="258">
        <v>100000000</v>
      </c>
      <c r="E66" s="49">
        <f>2^(-K66/J66)*B66</f>
        <v>99770744.25934699</v>
      </c>
      <c r="F66" s="49">
        <f>2^(-K67/J66)*B66</f>
        <v>97730949.76833947</v>
      </c>
      <c r="G66" s="49">
        <f>2^(-K68/J66)*B66</f>
        <v>79491591.758897</v>
      </c>
      <c r="H66" s="48" t="s">
        <v>1232</v>
      </c>
      <c r="I66" s="48" t="s">
        <v>1231</v>
      </c>
      <c r="J66" s="48">
        <v>302000</v>
      </c>
      <c r="K66" s="255">
        <v>1000</v>
      </c>
    </row>
    <row r="67" spans="1:11" ht="12.75">
      <c r="A67" s="48" t="s">
        <v>1237</v>
      </c>
      <c r="B67" s="49">
        <v>300000</v>
      </c>
      <c r="C67" s="49">
        <v>300000</v>
      </c>
      <c r="D67" s="258">
        <v>300000</v>
      </c>
      <c r="E67" s="49">
        <f>2^(-K66/J67)*B67</f>
        <v>297987.90259986307</v>
      </c>
      <c r="F67" s="49">
        <f>2^(-K67/J67)*B67</f>
        <v>280475.5714550335</v>
      </c>
      <c r="G67" s="49">
        <f>2^(-K68/J67)*B67</f>
        <v>153059.08861403374</v>
      </c>
      <c r="H67" s="48" t="s">
        <v>1232</v>
      </c>
      <c r="I67" s="48" t="s">
        <v>1238</v>
      </c>
      <c r="J67" s="48">
        <v>103000</v>
      </c>
      <c r="K67" s="255">
        <v>10000</v>
      </c>
    </row>
    <row r="68" spans="1:11" ht="12.75">
      <c r="A68" s="43" t="s">
        <v>1239</v>
      </c>
      <c r="B68" s="52">
        <v>610000</v>
      </c>
      <c r="C68" s="52">
        <v>180000</v>
      </c>
      <c r="D68" s="259"/>
      <c r="E68" s="43"/>
      <c r="F68" s="43"/>
      <c r="G68" s="43"/>
      <c r="H68" s="43" t="s">
        <v>1232</v>
      </c>
      <c r="I68" s="43" t="s">
        <v>1238</v>
      </c>
      <c r="J68" s="43">
        <v>0.856</v>
      </c>
      <c r="K68" s="255">
        <v>100000</v>
      </c>
    </row>
    <row r="69" spans="1:10" ht="12.75">
      <c r="A69" s="43" t="s">
        <v>1240</v>
      </c>
      <c r="B69" s="52">
        <v>58000000000</v>
      </c>
      <c r="C69" s="52">
        <v>4400000000</v>
      </c>
      <c r="D69" s="259"/>
      <c r="E69" s="43"/>
      <c r="F69" s="43"/>
      <c r="G69" s="43"/>
      <c r="H69" s="43" t="s">
        <v>1232</v>
      </c>
      <c r="I69" s="43" t="s">
        <v>1238</v>
      </c>
      <c r="J69" s="43">
        <v>2.7</v>
      </c>
    </row>
    <row r="70" spans="1:10" ht="12.75">
      <c r="A70" s="43" t="s">
        <v>1241</v>
      </c>
      <c r="B70" s="52">
        <v>10200000000</v>
      </c>
      <c r="C70" s="52">
        <v>2700000000</v>
      </c>
      <c r="D70" s="257">
        <v>19000</v>
      </c>
      <c r="E70" s="43"/>
      <c r="F70" s="43"/>
      <c r="G70" s="43"/>
      <c r="H70" s="43" t="s">
        <v>1232</v>
      </c>
      <c r="I70" s="43" t="s">
        <v>1231</v>
      </c>
      <c r="J70" s="43">
        <v>5.7</v>
      </c>
    </row>
    <row r="71" spans="1:10" ht="12.75">
      <c r="A71" s="48" t="s">
        <v>1242</v>
      </c>
      <c r="B71" s="49">
        <v>1700000</v>
      </c>
      <c r="C71" s="49">
        <v>1700000</v>
      </c>
      <c r="D71" s="258">
        <v>1700000</v>
      </c>
      <c r="E71" s="49">
        <f>2^(-K66/J71)*B71</f>
        <v>1684340.2592326037</v>
      </c>
      <c r="F71" s="49">
        <f>2^(-K67/J71)*B71</f>
        <v>1549736.995639357</v>
      </c>
      <c r="G71" s="49">
        <f>2^(-K68/J71)*B71</f>
        <v>673813.5108104035</v>
      </c>
      <c r="H71" s="48" t="s">
        <v>1232</v>
      </c>
      <c r="I71" s="48" t="s">
        <v>1238</v>
      </c>
      <c r="J71" s="48">
        <v>74900</v>
      </c>
    </row>
    <row r="72" spans="1:10" ht="12.75">
      <c r="A72" s="43" t="s">
        <v>1243</v>
      </c>
      <c r="B72" s="52">
        <v>190000000</v>
      </c>
      <c r="C72" s="52">
        <v>180000000</v>
      </c>
      <c r="D72" s="257">
        <v>95000000</v>
      </c>
      <c r="E72" s="43"/>
      <c r="F72" s="43"/>
      <c r="G72" s="43"/>
      <c r="H72" s="43" t="s">
        <v>1232</v>
      </c>
      <c r="I72" s="43" t="s">
        <v>1231</v>
      </c>
      <c r="J72" s="43">
        <v>100</v>
      </c>
    </row>
    <row r="73" spans="1:10" ht="12.75">
      <c r="A73" s="48" t="s">
        <v>1247</v>
      </c>
      <c r="B73" s="49">
        <v>710000</v>
      </c>
      <c r="C73" s="49">
        <v>710000</v>
      </c>
      <c r="D73" s="258">
        <v>730000</v>
      </c>
      <c r="E73" s="49">
        <f>2^(-K66/J73)*B73</f>
        <v>686166.1425625702</v>
      </c>
      <c r="F73" s="49">
        <f>2^(-K67/J73)*B73</f>
        <v>504623.77768797573</v>
      </c>
      <c r="G73" s="49">
        <f>2^(-K68/J73)*B73</f>
        <v>23353.499378387998</v>
      </c>
      <c r="H73" s="48" t="s">
        <v>1245</v>
      </c>
      <c r="I73" s="48" t="s">
        <v>1231</v>
      </c>
      <c r="J73" s="48">
        <v>20300</v>
      </c>
    </row>
    <row r="74" spans="1:10" ht="12.75">
      <c r="A74" s="43" t="s">
        <v>1248</v>
      </c>
      <c r="B74" s="52">
        <v>6100000</v>
      </c>
      <c r="C74" s="52">
        <v>210000</v>
      </c>
      <c r="D74" s="259"/>
      <c r="E74" s="43"/>
      <c r="F74" s="43"/>
      <c r="G74" s="43"/>
      <c r="H74" s="43" t="s">
        <v>1245</v>
      </c>
      <c r="I74" s="43" t="s">
        <v>1231</v>
      </c>
      <c r="J74" s="43">
        <v>2.06</v>
      </c>
    </row>
    <row r="75" spans="1:10" ht="12.75">
      <c r="A75" s="43" t="s">
        <v>1249</v>
      </c>
      <c r="B75" s="52">
        <v>13000000</v>
      </c>
      <c r="C75" s="52">
        <v>11000000</v>
      </c>
      <c r="D75" s="257">
        <v>1300000</v>
      </c>
      <c r="E75" s="43"/>
      <c r="F75" s="43"/>
      <c r="G75" s="43"/>
      <c r="H75" s="43" t="s">
        <v>1245</v>
      </c>
      <c r="I75" s="43" t="s">
        <v>1231</v>
      </c>
      <c r="J75" s="43">
        <v>30</v>
      </c>
    </row>
    <row r="76" spans="1:10" ht="12.75">
      <c r="A76" s="43" t="s">
        <v>1250</v>
      </c>
      <c r="B76" s="52">
        <v>6100000</v>
      </c>
      <c r="C76" s="52">
        <v>3600000</v>
      </c>
      <c r="D76" s="257">
        <v>34000</v>
      </c>
      <c r="E76" s="43"/>
      <c r="F76" s="43"/>
      <c r="G76" s="43"/>
      <c r="H76" s="43" t="s">
        <v>1245</v>
      </c>
      <c r="I76" s="43" t="s">
        <v>1238</v>
      </c>
      <c r="J76" s="43">
        <v>13.3</v>
      </c>
    </row>
    <row r="77" spans="1:10" ht="12.75">
      <c r="A77" s="43" t="s">
        <v>1251</v>
      </c>
      <c r="B77" s="52">
        <v>3100000</v>
      </c>
      <c r="C77" s="52">
        <v>1400000</v>
      </c>
      <c r="D77" s="257">
        <v>930</v>
      </c>
      <c r="E77" s="43"/>
      <c r="F77" s="43"/>
      <c r="G77" s="43"/>
      <c r="H77" s="43" t="s">
        <v>1245</v>
      </c>
      <c r="I77" s="43" t="s">
        <v>1231</v>
      </c>
      <c r="J77" s="43">
        <v>8.6</v>
      </c>
    </row>
    <row r="78" spans="1:10" ht="12.75">
      <c r="A78" s="43" t="s">
        <v>1252</v>
      </c>
      <c r="B78" s="52">
        <v>1000000</v>
      </c>
      <c r="C78" s="52">
        <v>220000</v>
      </c>
      <c r="D78" s="259"/>
      <c r="E78" s="43"/>
      <c r="F78" s="43"/>
      <c r="G78" s="43"/>
      <c r="H78" s="43" t="s">
        <v>1245</v>
      </c>
      <c r="I78" s="43" t="s">
        <v>1231</v>
      </c>
      <c r="J78" s="43">
        <v>4.96</v>
      </c>
    </row>
    <row r="79" spans="1:10" ht="12.75">
      <c r="A79" s="48" t="s">
        <v>1190</v>
      </c>
      <c r="B79" s="49">
        <v>920000</v>
      </c>
      <c r="C79" s="49">
        <v>920000</v>
      </c>
      <c r="D79" s="258">
        <v>870000</v>
      </c>
      <c r="E79" s="49">
        <f>2^(-K66/J79)*B79</f>
        <v>466294.5941484354</v>
      </c>
      <c r="F79" s="49">
        <f>2^(-K67/J79)*B79</f>
        <v>1029.2321886228908</v>
      </c>
      <c r="G79" s="49"/>
      <c r="H79" s="48" t="s">
        <v>1245</v>
      </c>
      <c r="I79" s="48" t="s">
        <v>1231</v>
      </c>
      <c r="J79" s="48">
        <v>1020</v>
      </c>
    </row>
    <row r="80" spans="1:10" ht="25.5">
      <c r="A80" s="191" t="s">
        <v>1191</v>
      </c>
      <c r="B80" s="52">
        <v>91000</v>
      </c>
      <c r="C80" s="52">
        <v>220000</v>
      </c>
      <c r="D80" s="257">
        <v>380000</v>
      </c>
      <c r="E80" s="43"/>
      <c r="F80" s="43"/>
      <c r="G80" s="43"/>
      <c r="H80" s="191" t="s">
        <v>1245</v>
      </c>
      <c r="I80" s="55" t="s">
        <v>1193</v>
      </c>
      <c r="J80" s="55">
        <v>433</v>
      </c>
    </row>
    <row r="81" spans="1:10" ht="12.75">
      <c r="A81" s="190" t="s">
        <v>166</v>
      </c>
      <c r="B81" s="253">
        <v>100000000</v>
      </c>
      <c r="C81" s="253">
        <v>100000000</v>
      </c>
      <c r="D81" s="253">
        <v>100000000</v>
      </c>
      <c r="E81" s="43"/>
      <c r="F81" s="43"/>
      <c r="G81" s="43"/>
      <c r="H81" s="190" t="s">
        <v>172</v>
      </c>
      <c r="I81" s="190" t="s">
        <v>169</v>
      </c>
      <c r="J81" s="190" t="s">
        <v>171</v>
      </c>
    </row>
    <row r="82" spans="1:10" ht="12.75">
      <c r="A82" s="190" t="s">
        <v>167</v>
      </c>
      <c r="B82" s="253">
        <v>86000000</v>
      </c>
      <c r="C82" s="253">
        <v>86000000</v>
      </c>
      <c r="D82" s="253">
        <v>86000000</v>
      </c>
      <c r="E82" s="43"/>
      <c r="F82" s="43"/>
      <c r="G82" s="43"/>
      <c r="H82" s="190" t="s">
        <v>168</v>
      </c>
      <c r="I82" s="190" t="s">
        <v>170</v>
      </c>
      <c r="J82" s="190" t="s">
        <v>171</v>
      </c>
    </row>
    <row r="83" spans="1:10" ht="12.75">
      <c r="A83" s="191" t="s">
        <v>555</v>
      </c>
      <c r="B83" s="52">
        <f aca="true" t="shared" si="10" ref="B83:G83">SUM(B64:B80)</f>
        <v>81203631000</v>
      </c>
      <c r="C83" s="52">
        <f t="shared" si="10"/>
        <v>14980460000</v>
      </c>
      <c r="D83" s="257">
        <f t="shared" si="10"/>
        <v>914333930</v>
      </c>
      <c r="E83" s="257">
        <f t="shared" si="10"/>
        <v>705427849.2474015</v>
      </c>
      <c r="F83" s="257">
        <f t="shared" si="10"/>
        <v>302905672.1134362</v>
      </c>
      <c r="G83" s="257">
        <f t="shared" si="10"/>
        <v>80345610.40780309</v>
      </c>
      <c r="H83" s="191"/>
      <c r="I83" s="55"/>
      <c r="J83" s="55"/>
    </row>
    <row r="84" spans="1:10" ht="12.75">
      <c r="A84" s="43" t="s">
        <v>46</v>
      </c>
      <c r="B84" s="52">
        <v>83000000000</v>
      </c>
      <c r="C84" s="52">
        <v>15000000000</v>
      </c>
      <c r="D84" s="257">
        <v>910000000</v>
      </c>
      <c r="E84" s="43"/>
      <c r="F84" s="43"/>
      <c r="G84" s="43"/>
      <c r="H84" s="43"/>
      <c r="I84" s="43"/>
      <c r="J84" s="43"/>
    </row>
    <row r="86" ht="12.75">
      <c r="A86" s="1" t="s">
        <v>1205</v>
      </c>
    </row>
    <row r="87" spans="1:7" ht="25.5">
      <c r="A87" s="44" t="s">
        <v>1228</v>
      </c>
      <c r="B87" s="251" t="s">
        <v>1423</v>
      </c>
      <c r="C87" s="251" t="s">
        <v>1328</v>
      </c>
      <c r="D87" s="251" t="s">
        <v>1329</v>
      </c>
      <c r="E87" s="44" t="s">
        <v>494</v>
      </c>
      <c r="F87" s="44" t="s">
        <v>1230</v>
      </c>
      <c r="G87" s="44" t="s">
        <v>1009</v>
      </c>
    </row>
    <row r="88" spans="1:7" ht="12.75">
      <c r="A88" s="166" t="s">
        <v>1229</v>
      </c>
      <c r="B88" s="52">
        <v>3930000000</v>
      </c>
      <c r="C88" s="52">
        <v>547000000</v>
      </c>
      <c r="D88" s="52">
        <v>190000</v>
      </c>
      <c r="E88" s="166" t="s">
        <v>1232</v>
      </c>
      <c r="F88" s="166" t="s">
        <v>1231</v>
      </c>
      <c r="G88" s="166">
        <v>12.3</v>
      </c>
    </row>
    <row r="89" spans="1:7" ht="12.75">
      <c r="A89" s="48" t="s">
        <v>1234</v>
      </c>
      <c r="B89" s="49">
        <v>223000000</v>
      </c>
      <c r="C89" s="49">
        <v>222000000</v>
      </c>
      <c r="D89" s="49">
        <v>219000000</v>
      </c>
      <c r="E89" s="48" t="s">
        <v>1232</v>
      </c>
      <c r="F89" s="48" t="s">
        <v>1231</v>
      </c>
      <c r="G89" s="48">
        <v>5730</v>
      </c>
    </row>
    <row r="90" spans="1:7" ht="12.75">
      <c r="A90" s="48" t="s">
        <v>1236</v>
      </c>
      <c r="B90" s="49">
        <v>32600000</v>
      </c>
      <c r="C90" s="49">
        <v>32600000</v>
      </c>
      <c r="D90" s="49">
        <v>32600000</v>
      </c>
      <c r="E90" s="48" t="s">
        <v>1232</v>
      </c>
      <c r="F90" s="48" t="s">
        <v>1231</v>
      </c>
      <c r="G90" s="48">
        <v>302000</v>
      </c>
    </row>
    <row r="91" spans="1:7" ht="12.75">
      <c r="A91" s="48" t="s">
        <v>1237</v>
      </c>
      <c r="B91" s="49">
        <v>97900</v>
      </c>
      <c r="C91" s="49">
        <v>97900</v>
      </c>
      <c r="D91" s="49">
        <v>97800</v>
      </c>
      <c r="E91" s="48" t="s">
        <v>1232</v>
      </c>
      <c r="F91" s="48" t="s">
        <v>1238</v>
      </c>
      <c r="G91" s="48">
        <v>103000</v>
      </c>
    </row>
    <row r="92" spans="1:7" ht="12.75">
      <c r="A92" s="43" t="s">
        <v>1239</v>
      </c>
      <c r="B92" s="52">
        <v>200000000</v>
      </c>
      <c r="C92" s="43"/>
      <c r="D92" s="43"/>
      <c r="E92" s="43" t="s">
        <v>1232</v>
      </c>
      <c r="F92" s="43" t="s">
        <v>1238</v>
      </c>
      <c r="G92" s="43">
        <v>0.856</v>
      </c>
    </row>
    <row r="93" spans="1:7" ht="12.75">
      <c r="A93" s="43" t="s">
        <v>1240</v>
      </c>
      <c r="B93" s="52">
        <v>19000000000</v>
      </c>
      <c r="C93" s="52">
        <v>2380000</v>
      </c>
      <c r="D93" s="43"/>
      <c r="E93" s="43" t="s">
        <v>1232</v>
      </c>
      <c r="F93" s="43" t="s">
        <v>1238</v>
      </c>
      <c r="G93" s="43">
        <v>2.7</v>
      </c>
    </row>
    <row r="94" spans="1:7" ht="12.75">
      <c r="A94" s="43" t="s">
        <v>1241</v>
      </c>
      <c r="B94" s="52">
        <v>3330000000</v>
      </c>
      <c r="C94" s="52">
        <v>33400000</v>
      </c>
      <c r="D94" s="52">
        <v>54.7</v>
      </c>
      <c r="E94" s="43" t="s">
        <v>1232</v>
      </c>
      <c r="F94" s="43" t="s">
        <v>1231</v>
      </c>
      <c r="G94" s="43">
        <v>5.7</v>
      </c>
    </row>
    <row r="95" spans="1:7" ht="12.75">
      <c r="A95" s="48" t="s">
        <v>1242</v>
      </c>
      <c r="B95" s="49">
        <v>556000</v>
      </c>
      <c r="C95" s="49">
        <v>556000</v>
      </c>
      <c r="D95" s="49">
        <v>556000</v>
      </c>
      <c r="E95" s="48" t="s">
        <v>1232</v>
      </c>
      <c r="F95" s="48" t="s">
        <v>1238</v>
      </c>
      <c r="G95" s="48">
        <v>74900</v>
      </c>
    </row>
    <row r="96" spans="1:7" ht="12.75">
      <c r="A96" s="43" t="s">
        <v>1243</v>
      </c>
      <c r="B96" s="52">
        <v>62000000</v>
      </c>
      <c r="C96" s="52">
        <v>48600000</v>
      </c>
      <c r="D96" s="52">
        <v>24300000</v>
      </c>
      <c r="E96" s="43" t="s">
        <v>1232</v>
      </c>
      <c r="F96" s="43" t="s">
        <v>1231</v>
      </c>
      <c r="G96" s="43">
        <v>100</v>
      </c>
    </row>
    <row r="97" spans="1:7" ht="12.75">
      <c r="A97" s="48" t="s">
        <v>1247</v>
      </c>
      <c r="B97" s="49">
        <v>232000</v>
      </c>
      <c r="C97" s="49">
        <v>232000</v>
      </c>
      <c r="D97" s="49">
        <v>332000</v>
      </c>
      <c r="E97" s="48" t="s">
        <v>1245</v>
      </c>
      <c r="F97" s="48" t="s">
        <v>1231</v>
      </c>
      <c r="G97" s="48">
        <v>20300</v>
      </c>
    </row>
    <row r="98" spans="1:7" ht="12.75">
      <c r="A98" s="43" t="s">
        <v>1248</v>
      </c>
      <c r="B98" s="52">
        <v>1990000</v>
      </c>
      <c r="C98" s="52">
        <v>15.4</v>
      </c>
      <c r="D98" s="43"/>
      <c r="E98" s="43" t="s">
        <v>1245</v>
      </c>
      <c r="F98" s="43" t="s">
        <v>1231</v>
      </c>
      <c r="G98" s="43">
        <v>2.06</v>
      </c>
    </row>
    <row r="99" spans="1:7" ht="12.75">
      <c r="A99" s="43" t="s">
        <v>1249</v>
      </c>
      <c r="B99" s="52">
        <v>4230000</v>
      </c>
      <c r="C99" s="52">
        <v>1890000</v>
      </c>
      <c r="D99" s="52">
        <v>190000</v>
      </c>
      <c r="E99" s="43" t="s">
        <v>1245</v>
      </c>
      <c r="F99" s="43" t="s">
        <v>1231</v>
      </c>
      <c r="G99" s="43">
        <v>30</v>
      </c>
    </row>
    <row r="100" spans="1:7" ht="12.75">
      <c r="A100" s="43" t="s">
        <v>1250</v>
      </c>
      <c r="B100" s="52">
        <v>1990000</v>
      </c>
      <c r="C100" s="52">
        <v>321000</v>
      </c>
      <c r="D100" s="52">
        <v>1750</v>
      </c>
      <c r="E100" s="43" t="s">
        <v>1245</v>
      </c>
      <c r="F100" s="43" t="s">
        <v>1238</v>
      </c>
      <c r="G100" s="43">
        <v>13.3</v>
      </c>
    </row>
    <row r="101" spans="1:7" ht="12.75">
      <c r="A101" s="43" t="s">
        <v>1251</v>
      </c>
      <c r="B101" s="52">
        <v>1010000</v>
      </c>
      <c r="C101" s="52">
        <v>60300</v>
      </c>
      <c r="D101" s="52">
        <v>19.1</v>
      </c>
      <c r="E101" s="43" t="s">
        <v>1245</v>
      </c>
      <c r="F101" s="43" t="s">
        <v>1231</v>
      </c>
      <c r="G101" s="43">
        <v>8.6</v>
      </c>
    </row>
    <row r="102" spans="1:7" ht="12.75">
      <c r="A102" s="43" t="s">
        <v>1252</v>
      </c>
      <c r="B102" s="52">
        <v>326000</v>
      </c>
      <c r="C102" s="52">
        <v>1770</v>
      </c>
      <c r="D102" s="43"/>
      <c r="E102" s="43" t="s">
        <v>1245</v>
      </c>
      <c r="F102" s="43" t="s">
        <v>1231</v>
      </c>
      <c r="G102" s="43">
        <v>4.96</v>
      </c>
    </row>
    <row r="103" spans="1:7" ht="12.75">
      <c r="A103" s="43" t="s">
        <v>1190</v>
      </c>
      <c r="B103" s="52">
        <v>300000</v>
      </c>
      <c r="C103" s="52">
        <v>294000</v>
      </c>
      <c r="D103" s="52">
        <v>278000</v>
      </c>
      <c r="E103" s="43" t="s">
        <v>1245</v>
      </c>
      <c r="F103" s="43" t="s">
        <v>1231</v>
      </c>
      <c r="G103" s="43">
        <v>1020</v>
      </c>
    </row>
    <row r="104" spans="1:7" ht="25.5">
      <c r="A104" s="191" t="s">
        <v>1191</v>
      </c>
      <c r="B104" s="52">
        <v>29700</v>
      </c>
      <c r="C104" s="52">
        <v>32200</v>
      </c>
      <c r="D104" s="52">
        <v>28300</v>
      </c>
      <c r="E104" s="191" t="s">
        <v>1245</v>
      </c>
      <c r="F104" s="55" t="s">
        <v>1193</v>
      </c>
      <c r="G104" s="55">
        <v>433</v>
      </c>
    </row>
    <row r="105" spans="1:7" ht="12.75">
      <c r="A105" s="190" t="s">
        <v>166</v>
      </c>
      <c r="B105" s="253">
        <v>100000000</v>
      </c>
      <c r="C105" s="253">
        <v>100000000</v>
      </c>
      <c r="D105" s="253">
        <v>100000000</v>
      </c>
      <c r="E105" s="190" t="s">
        <v>172</v>
      </c>
      <c r="F105" s="190" t="s">
        <v>169</v>
      </c>
      <c r="G105" s="190" t="s">
        <v>171</v>
      </c>
    </row>
    <row r="106" spans="1:7" ht="12.75">
      <c r="A106" s="190" t="s">
        <v>167</v>
      </c>
      <c r="B106" s="253">
        <v>86000000</v>
      </c>
      <c r="C106" s="253">
        <v>86000000</v>
      </c>
      <c r="D106" s="253">
        <v>86000000</v>
      </c>
      <c r="E106" s="190" t="s">
        <v>168</v>
      </c>
      <c r="F106" s="190" t="s">
        <v>170</v>
      </c>
      <c r="G106" s="190" t="s">
        <v>171</v>
      </c>
    </row>
    <row r="107" spans="1:7" ht="12.75">
      <c r="A107" s="191" t="s">
        <v>555</v>
      </c>
      <c r="B107" s="52">
        <f>SUM(B88:B104)</f>
        <v>26788361600</v>
      </c>
      <c r="C107" s="52">
        <f>SUM(C88:C104)</f>
        <v>889465185.4</v>
      </c>
      <c r="D107" s="52">
        <f>SUM(D88:D104)</f>
        <v>277573923.8</v>
      </c>
      <c r="E107" s="191"/>
      <c r="F107" s="55"/>
      <c r="G107" s="55"/>
    </row>
    <row r="108" spans="1:7" ht="12.75">
      <c r="A108" s="43" t="s">
        <v>46</v>
      </c>
      <c r="B108" s="52">
        <v>27000000000</v>
      </c>
      <c r="C108" s="52">
        <v>892000000</v>
      </c>
      <c r="D108" s="52">
        <v>280000000</v>
      </c>
      <c r="E108" s="43"/>
      <c r="F108" s="43"/>
      <c r="G108" s="43"/>
    </row>
  </sheetData>
  <sheetProtection/>
  <printOptions/>
  <pageMargins left="0.75" right="0.75" top="1" bottom="1" header="0.5" footer="0.5"/>
  <pageSetup fitToWidth="2" fitToHeight="1" horizontalDpi="600" verticalDpi="600" orientation="portrait" paperSize="9" scale="46"/>
  <rowBreaks count="1" manualBreakCount="1">
    <brk id="3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43"/>
  <sheetViews>
    <sheetView zoomScalePageLayoutView="0" workbookViewId="0" topLeftCell="A82">
      <selection activeCell="K117" sqref="K117"/>
    </sheetView>
  </sheetViews>
  <sheetFormatPr defaultColWidth="8.8515625" defaultRowHeight="12.75"/>
  <cols>
    <col min="1" max="1" width="21.00390625" style="0" customWidth="1"/>
    <col min="2" max="2" width="10.28125" style="0" customWidth="1"/>
    <col min="3" max="3" width="10.421875" style="0" customWidth="1"/>
    <col min="4" max="4" width="10.140625" style="0" bestFit="1" customWidth="1"/>
    <col min="5" max="5" width="12.421875" style="0" customWidth="1"/>
    <col min="6" max="7" width="10.140625" style="0" bestFit="1" customWidth="1"/>
    <col min="8" max="8" width="12.421875" style="0" customWidth="1"/>
    <col min="9" max="9" width="11.28125" style="0" customWidth="1"/>
    <col min="18" max="18" width="10.140625" style="0" customWidth="1"/>
  </cols>
  <sheetData>
    <row r="1" ht="12.75">
      <c r="A1" t="s">
        <v>200</v>
      </c>
    </row>
    <row r="2" spans="2:4" ht="12.75">
      <c r="B2" t="s">
        <v>205</v>
      </c>
      <c r="C2" t="s">
        <v>206</v>
      </c>
      <c r="D2" t="s">
        <v>207</v>
      </c>
    </row>
    <row r="3" spans="1:5" ht="12.75">
      <c r="A3" t="s">
        <v>201</v>
      </c>
      <c r="B3">
        <v>323</v>
      </c>
      <c r="C3">
        <v>647</v>
      </c>
      <c r="D3" s="3">
        <v>4560</v>
      </c>
      <c r="E3" s="3"/>
    </row>
    <row r="4" spans="1:5" ht="12.75">
      <c r="A4" t="s">
        <v>202</v>
      </c>
      <c r="B4" s="19">
        <v>29800</v>
      </c>
      <c r="C4">
        <v>647</v>
      </c>
      <c r="D4" s="3">
        <v>4560</v>
      </c>
      <c r="E4" s="3"/>
    </row>
    <row r="5" spans="1:5" ht="12.75">
      <c r="A5" t="s">
        <v>203</v>
      </c>
      <c r="B5" s="19">
        <v>40900</v>
      </c>
      <c r="C5">
        <v>887</v>
      </c>
      <c r="D5" s="3">
        <v>4560</v>
      </c>
      <c r="E5" s="3"/>
    </row>
    <row r="6" spans="1:5" ht="12.75">
      <c r="A6" t="s">
        <v>204</v>
      </c>
      <c r="B6" s="19">
        <v>63900</v>
      </c>
      <c r="C6" s="19">
        <v>1390</v>
      </c>
      <c r="D6" s="3">
        <v>4560</v>
      </c>
      <c r="E6" s="3"/>
    </row>
    <row r="7" spans="2:5" ht="12.75">
      <c r="B7" s="19" t="s">
        <v>208</v>
      </c>
      <c r="C7" s="19"/>
      <c r="D7" s="3"/>
      <c r="E7" s="3"/>
    </row>
    <row r="8" spans="1:5" ht="12.75">
      <c r="A8" t="s">
        <v>201</v>
      </c>
      <c r="B8" s="19">
        <f>(B3+C3+D3)</f>
        <v>5530</v>
      </c>
      <c r="C8" s="19"/>
      <c r="D8" s="3"/>
      <c r="E8" s="3"/>
    </row>
    <row r="9" spans="1:5" ht="12.75">
      <c r="A9" t="s">
        <v>202</v>
      </c>
      <c r="B9" s="19">
        <f>(B4+C4+D4)</f>
        <v>35007</v>
      </c>
      <c r="C9" s="19"/>
      <c r="D9" s="3"/>
      <c r="E9" s="3"/>
    </row>
    <row r="10" spans="1:5" ht="12.75">
      <c r="A10" t="s">
        <v>203</v>
      </c>
      <c r="B10" s="19">
        <f>(B5+C5+D5)</f>
        <v>46347</v>
      </c>
      <c r="C10" s="19"/>
      <c r="D10" s="3"/>
      <c r="E10" s="3"/>
    </row>
    <row r="11" spans="1:5" ht="12.75">
      <c r="A11" t="s">
        <v>204</v>
      </c>
      <c r="B11" s="19">
        <f>(B6+C6+D6)</f>
        <v>69850</v>
      </c>
      <c r="C11" s="19"/>
      <c r="D11" s="3"/>
      <c r="E11" s="3"/>
    </row>
    <row r="12" spans="2:4" ht="12.75">
      <c r="B12" t="s">
        <v>209</v>
      </c>
      <c r="C12" t="s">
        <v>210</v>
      </c>
      <c r="D12" s="247" t="s">
        <v>211</v>
      </c>
    </row>
    <row r="13" spans="1:4" ht="12.75">
      <c r="A13" t="s">
        <v>201</v>
      </c>
      <c r="B13">
        <v>5.31</v>
      </c>
      <c r="C13" s="6">
        <v>10.6</v>
      </c>
      <c r="D13" s="6">
        <v>74.9</v>
      </c>
    </row>
    <row r="14" spans="1:4" ht="12.75">
      <c r="A14" t="s">
        <v>202</v>
      </c>
      <c r="B14">
        <v>489</v>
      </c>
      <c r="C14" s="6">
        <v>10.6</v>
      </c>
      <c r="D14" s="6">
        <v>74.9</v>
      </c>
    </row>
    <row r="15" spans="1:4" ht="12.75">
      <c r="A15" t="s">
        <v>203</v>
      </c>
      <c r="B15">
        <v>671</v>
      </c>
      <c r="C15" s="6">
        <v>14.6</v>
      </c>
      <c r="D15" s="6">
        <v>74.9</v>
      </c>
    </row>
    <row r="16" spans="1:4" ht="12.75">
      <c r="A16" t="s">
        <v>204</v>
      </c>
      <c r="B16" s="19">
        <v>1050</v>
      </c>
      <c r="C16" s="6">
        <v>22.8</v>
      </c>
      <c r="D16" s="6">
        <v>74.9</v>
      </c>
    </row>
    <row r="17" spans="2:3" ht="12.75">
      <c r="B17" s="19" t="s">
        <v>208</v>
      </c>
      <c r="C17" t="s">
        <v>212</v>
      </c>
    </row>
    <row r="18" spans="1:3" ht="12.75">
      <c r="A18" t="s">
        <v>201</v>
      </c>
      <c r="B18" s="19">
        <f>(B13+C13+D13)</f>
        <v>90.81</v>
      </c>
      <c r="C18" s="247">
        <f>(B18/B8)</f>
        <v>0.016421338155515372</v>
      </c>
    </row>
    <row r="19" spans="1:22" ht="12.75">
      <c r="A19" t="s">
        <v>202</v>
      </c>
      <c r="B19" s="19">
        <f>(B14+C14+D14)</f>
        <v>574.5</v>
      </c>
      <c r="C19" s="247">
        <f>(B19/B9)</f>
        <v>0.016411003513582996</v>
      </c>
      <c r="V19" t="s">
        <v>1279</v>
      </c>
    </row>
    <row r="20" spans="1:22" ht="12.75">
      <c r="A20" t="s">
        <v>203</v>
      </c>
      <c r="B20" s="19">
        <f>(B15+C15+D15)</f>
        <v>760.5</v>
      </c>
      <c r="C20" s="247">
        <f>(B20/B10)</f>
        <v>0.016408829050423977</v>
      </c>
      <c r="V20" t="s">
        <v>1280</v>
      </c>
    </row>
    <row r="21" spans="1:22" ht="12.75">
      <c r="A21" t="s">
        <v>204</v>
      </c>
      <c r="B21" s="19">
        <f>(B16+C16+D16)</f>
        <v>1147.7</v>
      </c>
      <c r="C21" s="247">
        <f>(B21/B11)</f>
        <v>0.01643092340730136</v>
      </c>
      <c r="V21" t="s">
        <v>1281</v>
      </c>
    </row>
    <row r="22" ht="12.75">
      <c r="V22" t="s">
        <v>1282</v>
      </c>
    </row>
    <row r="23" spans="1:22" ht="12.75">
      <c r="A23" s="1" t="s">
        <v>698</v>
      </c>
      <c r="V23" t="s">
        <v>1375</v>
      </c>
    </row>
    <row r="24" spans="1:22" ht="12.75">
      <c r="A24" s="274"/>
      <c r="B24" s="274" t="s">
        <v>1269</v>
      </c>
      <c r="C24" s="274" t="s">
        <v>1270</v>
      </c>
      <c r="D24" s="274" t="s">
        <v>1271</v>
      </c>
      <c r="E24" s="274" t="s">
        <v>1272</v>
      </c>
      <c r="F24" s="274" t="s">
        <v>1273</v>
      </c>
      <c r="G24" s="274" t="s">
        <v>1274</v>
      </c>
      <c r="V24" t="s">
        <v>1376</v>
      </c>
    </row>
    <row r="25" spans="1:7" ht="12.75">
      <c r="A25" s="274" t="s">
        <v>1275</v>
      </c>
      <c r="B25" s="275">
        <v>124000</v>
      </c>
      <c r="C25" s="275">
        <v>124000</v>
      </c>
      <c r="D25" s="275">
        <v>131000</v>
      </c>
      <c r="E25" s="275">
        <v>114000</v>
      </c>
      <c r="F25" s="275">
        <v>264000</v>
      </c>
      <c r="G25" s="275">
        <v>293000</v>
      </c>
    </row>
    <row r="26" spans="1:7" ht="12.75">
      <c r="A26" s="274" t="s">
        <v>1277</v>
      </c>
      <c r="B26" s="275">
        <v>180000</v>
      </c>
      <c r="C26" s="275">
        <v>178000</v>
      </c>
      <c r="D26" s="275">
        <v>196000</v>
      </c>
      <c r="E26" s="275">
        <v>171000</v>
      </c>
      <c r="F26" s="275">
        <v>409000</v>
      </c>
      <c r="G26" s="275">
        <v>453000</v>
      </c>
    </row>
    <row r="27" spans="1:7" ht="12.75">
      <c r="A27" s="274" t="s">
        <v>1276</v>
      </c>
      <c r="B27" s="275">
        <v>25000</v>
      </c>
      <c r="C27" s="275">
        <v>23900</v>
      </c>
      <c r="D27" s="275">
        <v>26400</v>
      </c>
      <c r="E27" s="275">
        <v>22500</v>
      </c>
      <c r="F27" s="275">
        <v>38000</v>
      </c>
      <c r="G27" s="275">
        <v>44600</v>
      </c>
    </row>
    <row r="28" spans="1:7" ht="12.75">
      <c r="A28" s="274" t="s">
        <v>1278</v>
      </c>
      <c r="B28" s="275">
        <v>28000</v>
      </c>
      <c r="C28" s="275">
        <v>27300</v>
      </c>
      <c r="D28" s="275">
        <v>29100</v>
      </c>
      <c r="E28" s="275">
        <v>24900</v>
      </c>
      <c r="F28" s="275">
        <v>39300</v>
      </c>
      <c r="G28" s="275">
        <v>46200</v>
      </c>
    </row>
    <row r="30" ht="12.75">
      <c r="A30" s="1" t="s">
        <v>699</v>
      </c>
    </row>
    <row r="31" spans="1:7" ht="12.75">
      <c r="A31" s="274"/>
      <c r="B31" s="274" t="s">
        <v>1269</v>
      </c>
      <c r="C31" s="274" t="s">
        <v>1270</v>
      </c>
      <c r="D31" s="274" t="s">
        <v>1271</v>
      </c>
      <c r="E31" s="274" t="s">
        <v>1272</v>
      </c>
      <c r="F31" s="274" t="s">
        <v>1273</v>
      </c>
      <c r="G31" s="274" t="s">
        <v>1274</v>
      </c>
    </row>
    <row r="32" spans="1:7" ht="12.75">
      <c r="A32" s="274" t="s">
        <v>1275</v>
      </c>
      <c r="B32" s="275">
        <v>124000</v>
      </c>
      <c r="C32" s="275">
        <v>124000</v>
      </c>
      <c r="D32" s="275">
        <v>131000</v>
      </c>
      <c r="E32" s="275">
        <v>114000</v>
      </c>
      <c r="F32" s="275">
        <v>264000</v>
      </c>
      <c r="G32" s="275">
        <v>293000</v>
      </c>
    </row>
    <row r="33" spans="1:7" ht="12.75">
      <c r="A33" s="274" t="s">
        <v>1277</v>
      </c>
      <c r="B33" s="275">
        <v>180000</v>
      </c>
      <c r="C33" s="275">
        <v>178000</v>
      </c>
      <c r="D33" s="275">
        <v>196000</v>
      </c>
      <c r="E33" s="275">
        <v>171000</v>
      </c>
      <c r="F33" s="275">
        <v>409000</v>
      </c>
      <c r="G33" s="275">
        <v>453000</v>
      </c>
    </row>
    <row r="34" spans="1:7" ht="12.75">
      <c r="A34" s="274" t="s">
        <v>1276</v>
      </c>
      <c r="B34" s="275">
        <v>-48400</v>
      </c>
      <c r="C34" s="275">
        <v>-36600</v>
      </c>
      <c r="D34" s="275">
        <v>-74400</v>
      </c>
      <c r="E34" s="275">
        <v>-60800</v>
      </c>
      <c r="F34" s="275">
        <v>-180000</v>
      </c>
      <c r="G34" s="275">
        <v>-207000</v>
      </c>
    </row>
    <row r="35" spans="1:7" ht="12.75">
      <c r="A35" s="274" t="s">
        <v>1278</v>
      </c>
      <c r="B35" s="275">
        <v>-45400</v>
      </c>
      <c r="C35" s="275">
        <v>-33100</v>
      </c>
      <c r="D35" s="275">
        <v>-71700</v>
      </c>
      <c r="E35" s="275">
        <v>-58400</v>
      </c>
      <c r="F35" s="275">
        <v>-179000</v>
      </c>
      <c r="G35" s="275">
        <v>-206000</v>
      </c>
    </row>
    <row r="41" ht="12.75">
      <c r="A41" s="1" t="s">
        <v>1052</v>
      </c>
    </row>
    <row r="42" spans="1:8" ht="12.75">
      <c r="A42" s="276" t="s">
        <v>1033</v>
      </c>
      <c r="B42" s="276" t="s">
        <v>1269</v>
      </c>
      <c r="C42" s="276" t="s">
        <v>1270</v>
      </c>
      <c r="D42" s="276" t="s">
        <v>1271</v>
      </c>
      <c r="E42" s="276" t="s">
        <v>1272</v>
      </c>
      <c r="F42" s="276" t="s">
        <v>1273</v>
      </c>
      <c r="G42" s="276" t="s">
        <v>1274</v>
      </c>
      <c r="H42" s="276" t="s">
        <v>1046</v>
      </c>
    </row>
    <row r="43" spans="1:8" ht="12.75">
      <c r="A43" s="268" t="s">
        <v>1034</v>
      </c>
      <c r="B43" s="277">
        <v>0.18</v>
      </c>
      <c r="C43" s="277">
        <v>0.18</v>
      </c>
      <c r="D43" s="277">
        <v>0.18</v>
      </c>
      <c r="E43" s="277">
        <v>0.18</v>
      </c>
      <c r="F43" s="277">
        <v>0.04</v>
      </c>
      <c r="G43" s="277">
        <v>0.04</v>
      </c>
      <c r="H43" s="269" t="s">
        <v>1047</v>
      </c>
    </row>
    <row r="44" spans="1:8" ht="12.75">
      <c r="A44" s="268" t="s">
        <v>1035</v>
      </c>
      <c r="B44" s="269">
        <v>0.00112</v>
      </c>
      <c r="C44" s="269">
        <v>0.00112</v>
      </c>
      <c r="D44" s="269">
        <v>0.00112</v>
      </c>
      <c r="E44" s="269">
        <v>0.00112</v>
      </c>
      <c r="F44" s="269">
        <v>0.00104</v>
      </c>
      <c r="G44" s="269">
        <v>0.00104</v>
      </c>
      <c r="H44" s="269" t="s">
        <v>1047</v>
      </c>
    </row>
    <row r="45" spans="1:8" ht="12.75">
      <c r="A45" s="268" t="s">
        <v>1036</v>
      </c>
      <c r="B45" s="277">
        <v>1.07</v>
      </c>
      <c r="C45" s="277">
        <v>1.07</v>
      </c>
      <c r="D45" s="277">
        <v>1.08</v>
      </c>
      <c r="E45" s="277">
        <v>1.08</v>
      </c>
      <c r="F45" s="277">
        <v>0.52</v>
      </c>
      <c r="G45" s="277">
        <v>0.52</v>
      </c>
      <c r="H45" s="269" t="s">
        <v>1047</v>
      </c>
    </row>
    <row r="46" spans="1:8" ht="12.75">
      <c r="A46" s="268" t="s">
        <v>1037</v>
      </c>
      <c r="B46" s="277">
        <v>0.42</v>
      </c>
      <c r="C46" s="277">
        <v>0.42</v>
      </c>
      <c r="D46" s="277">
        <v>0.42</v>
      </c>
      <c r="E46" s="277">
        <v>0.42</v>
      </c>
      <c r="F46" s="277">
        <v>0.403</v>
      </c>
      <c r="G46" s="277">
        <v>0.403</v>
      </c>
      <c r="H46" s="269" t="s">
        <v>1047</v>
      </c>
    </row>
    <row r="47" spans="1:8" ht="12.75">
      <c r="A47" s="268" t="s">
        <v>1038</v>
      </c>
      <c r="B47" s="269">
        <v>0.00583</v>
      </c>
      <c r="C47" s="269">
        <v>0.00583</v>
      </c>
      <c r="D47" s="269">
        <v>0.00583</v>
      </c>
      <c r="E47" s="269">
        <v>0.00583</v>
      </c>
      <c r="F47" s="269">
        <v>0.000665</v>
      </c>
      <c r="G47" s="269">
        <v>0.000665</v>
      </c>
      <c r="H47" s="269" t="s">
        <v>1047</v>
      </c>
    </row>
    <row r="48" spans="1:8" ht="12.75">
      <c r="A48" s="268" t="s">
        <v>1039</v>
      </c>
      <c r="B48" s="269">
        <v>9.51E-05</v>
      </c>
      <c r="C48" s="269">
        <v>9.51E-05</v>
      </c>
      <c r="D48" s="269">
        <v>9.51E-05</v>
      </c>
      <c r="E48" s="269">
        <v>9.51E-05</v>
      </c>
      <c r="F48" s="269">
        <v>7.7E-05</v>
      </c>
      <c r="G48" s="269">
        <v>7.7E-05</v>
      </c>
      <c r="H48" s="269" t="s">
        <v>1047</v>
      </c>
    </row>
    <row r="49" spans="1:8" ht="12.75">
      <c r="A49" s="276" t="s">
        <v>1033</v>
      </c>
      <c r="B49" s="276" t="s">
        <v>1269</v>
      </c>
      <c r="C49" s="276" t="s">
        <v>1270</v>
      </c>
      <c r="D49" s="276" t="s">
        <v>1271</v>
      </c>
      <c r="E49" s="276" t="s">
        <v>1272</v>
      </c>
      <c r="F49" s="276" t="s">
        <v>1273</v>
      </c>
      <c r="G49" s="276" t="s">
        <v>1274</v>
      </c>
      <c r="H49" s="276" t="s">
        <v>1046</v>
      </c>
    </row>
    <row r="50" spans="1:8" ht="12.75">
      <c r="A50" s="268" t="s">
        <v>1056</v>
      </c>
      <c r="B50" s="269">
        <v>747000</v>
      </c>
      <c r="C50" s="269">
        <v>747000</v>
      </c>
      <c r="D50" s="269">
        <v>747000</v>
      </c>
      <c r="E50" s="269">
        <v>747000</v>
      </c>
      <c r="F50" s="269">
        <v>101000</v>
      </c>
      <c r="G50" s="269">
        <v>101000</v>
      </c>
      <c r="H50" s="269" t="s">
        <v>1048</v>
      </c>
    </row>
    <row r="51" spans="1:8" ht="25.5">
      <c r="A51" s="268" t="s">
        <v>1041</v>
      </c>
      <c r="B51" s="269">
        <v>27600</v>
      </c>
      <c r="C51" s="269">
        <v>27600</v>
      </c>
      <c r="D51" s="269">
        <v>27600</v>
      </c>
      <c r="E51" s="269">
        <v>27600</v>
      </c>
      <c r="F51" s="269">
        <v>27600</v>
      </c>
      <c r="G51" s="269">
        <v>27600</v>
      </c>
      <c r="H51" s="269" t="s">
        <v>1049</v>
      </c>
    </row>
    <row r="52" spans="1:8" ht="12.75">
      <c r="A52" s="268" t="s">
        <v>1042</v>
      </c>
      <c r="B52" s="269">
        <v>39200</v>
      </c>
      <c r="C52" s="269">
        <v>39200</v>
      </c>
      <c r="D52" s="269">
        <v>39200</v>
      </c>
      <c r="E52" s="269">
        <v>39200</v>
      </c>
      <c r="F52" s="269">
        <v>39200</v>
      </c>
      <c r="G52" s="269">
        <v>39200</v>
      </c>
      <c r="H52" s="269" t="s">
        <v>1049</v>
      </c>
    </row>
    <row r="53" spans="1:8" ht="12.75">
      <c r="A53" s="276" t="s">
        <v>1033</v>
      </c>
      <c r="B53" s="276" t="s">
        <v>1269</v>
      </c>
      <c r="C53" s="276" t="s">
        <v>1270</v>
      </c>
      <c r="D53" s="276" t="s">
        <v>1271</v>
      </c>
      <c r="E53" s="276" t="s">
        <v>1272</v>
      </c>
      <c r="F53" s="276" t="s">
        <v>1273</v>
      </c>
      <c r="G53" s="276" t="s">
        <v>1274</v>
      </c>
      <c r="H53" s="276" t="s">
        <v>1046</v>
      </c>
    </row>
    <row r="54" spans="1:8" ht="12.75">
      <c r="A54" s="268" t="s">
        <v>1043</v>
      </c>
      <c r="B54" s="270">
        <v>305000</v>
      </c>
      <c r="C54" s="270">
        <v>305000</v>
      </c>
      <c r="D54" s="270">
        <v>305000</v>
      </c>
      <c r="E54" s="270">
        <v>305000</v>
      </c>
      <c r="F54" s="270">
        <v>305000</v>
      </c>
      <c r="G54" s="270">
        <v>305000</v>
      </c>
      <c r="H54" s="270" t="s">
        <v>1050</v>
      </c>
    </row>
    <row r="55" spans="1:8" ht="12.75">
      <c r="A55" s="268" t="s">
        <v>1044</v>
      </c>
      <c r="B55" s="269">
        <v>1110000</v>
      </c>
      <c r="C55" s="269">
        <v>1110000</v>
      </c>
      <c r="D55" s="269">
        <v>943000</v>
      </c>
      <c r="E55" s="269">
        <v>943000</v>
      </c>
      <c r="F55" s="269">
        <v>0</v>
      </c>
      <c r="G55" s="269">
        <v>0</v>
      </c>
      <c r="H55" s="270" t="s">
        <v>1050</v>
      </c>
    </row>
    <row r="56" ht="12.75">
      <c r="A56" s="1" t="s">
        <v>1053</v>
      </c>
    </row>
    <row r="57" spans="1:8" ht="12.75">
      <c r="A57" s="276" t="s">
        <v>1033</v>
      </c>
      <c r="B57" s="276" t="s">
        <v>1269</v>
      </c>
      <c r="C57" s="276" t="s">
        <v>1270</v>
      </c>
      <c r="D57" s="276" t="s">
        <v>1271</v>
      </c>
      <c r="E57" s="276" t="s">
        <v>1272</v>
      </c>
      <c r="F57" s="276" t="s">
        <v>1273</v>
      </c>
      <c r="G57" s="276" t="s">
        <v>1274</v>
      </c>
      <c r="H57" s="276" t="s">
        <v>1046</v>
      </c>
    </row>
    <row r="58" spans="1:8" ht="12.75">
      <c r="A58" s="268" t="s">
        <v>1034</v>
      </c>
      <c r="B58" s="277">
        <v>0.18</v>
      </c>
      <c r="C58" s="277">
        <v>0.18</v>
      </c>
      <c r="D58" s="277">
        <v>0.18</v>
      </c>
      <c r="E58" s="277">
        <v>0.18</v>
      </c>
      <c r="F58" s="277">
        <v>0.04</v>
      </c>
      <c r="G58" s="277">
        <v>0.04</v>
      </c>
      <c r="H58" s="269" t="s">
        <v>1047</v>
      </c>
    </row>
    <row r="59" spans="1:13" ht="12.75">
      <c r="A59" s="268" t="s">
        <v>1035</v>
      </c>
      <c r="B59" s="269">
        <v>0.00112</v>
      </c>
      <c r="C59" s="269">
        <v>0.00112</v>
      </c>
      <c r="D59" s="269">
        <v>0.00112</v>
      </c>
      <c r="E59" s="269">
        <v>0.00112</v>
      </c>
      <c r="F59" s="269">
        <v>0.00104</v>
      </c>
      <c r="G59" s="269">
        <v>0.00104</v>
      </c>
      <c r="H59" s="269" t="s">
        <v>1047</v>
      </c>
      <c r="M59" t="s">
        <v>1057</v>
      </c>
    </row>
    <row r="60" spans="1:13" ht="12.75">
      <c r="A60" s="268" t="s">
        <v>1036</v>
      </c>
      <c r="B60" s="277">
        <v>1.07</v>
      </c>
      <c r="C60" s="277">
        <v>1.07</v>
      </c>
      <c r="D60" s="277">
        <v>1.08</v>
      </c>
      <c r="E60" s="277">
        <v>1.08</v>
      </c>
      <c r="F60" s="277">
        <v>0.52</v>
      </c>
      <c r="G60" s="277">
        <v>0.52</v>
      </c>
      <c r="H60" s="269" t="s">
        <v>1047</v>
      </c>
      <c r="M60" t="s">
        <v>1058</v>
      </c>
    </row>
    <row r="61" spans="1:13" ht="12.75">
      <c r="A61" s="268" t="s">
        <v>1037</v>
      </c>
      <c r="B61" s="277">
        <v>0.42</v>
      </c>
      <c r="C61" s="277">
        <v>0.42</v>
      </c>
      <c r="D61" s="277">
        <v>0.42</v>
      </c>
      <c r="E61" s="277">
        <v>0.42</v>
      </c>
      <c r="F61" s="277">
        <v>0.403</v>
      </c>
      <c r="G61" s="277">
        <v>0.403</v>
      </c>
      <c r="H61" s="269" t="s">
        <v>1047</v>
      </c>
      <c r="M61" t="s">
        <v>1059</v>
      </c>
    </row>
    <row r="62" spans="1:13" ht="12.75">
      <c r="A62" s="268" t="s">
        <v>1038</v>
      </c>
      <c r="B62" s="269">
        <v>0.00583</v>
      </c>
      <c r="C62" s="269">
        <v>0.00583</v>
      </c>
      <c r="D62" s="269">
        <v>0.00583</v>
      </c>
      <c r="E62" s="269">
        <v>0.00583</v>
      </c>
      <c r="F62" s="269">
        <v>0.000665</v>
      </c>
      <c r="G62" s="269">
        <v>0.000665</v>
      </c>
      <c r="H62" s="269" t="s">
        <v>1047</v>
      </c>
      <c r="M62" t="s">
        <v>1060</v>
      </c>
    </row>
    <row r="63" spans="1:8" ht="12.75">
      <c r="A63" s="268" t="s">
        <v>1039</v>
      </c>
      <c r="B63" s="269">
        <v>9.51E-05</v>
      </c>
      <c r="C63" s="269">
        <v>9.51E-05</v>
      </c>
      <c r="D63" s="269">
        <v>9.51E-05</v>
      </c>
      <c r="E63" s="269">
        <v>9.51E-05</v>
      </c>
      <c r="F63" s="269">
        <v>7.7E-05</v>
      </c>
      <c r="G63" s="269">
        <v>7.7E-05</v>
      </c>
      <c r="H63" s="269" t="s">
        <v>1047</v>
      </c>
    </row>
    <row r="64" spans="1:8" ht="12.75">
      <c r="A64" s="276" t="s">
        <v>1033</v>
      </c>
      <c r="B64" s="276" t="s">
        <v>1269</v>
      </c>
      <c r="C64" s="276" t="s">
        <v>1270</v>
      </c>
      <c r="D64" s="276" t="s">
        <v>1271</v>
      </c>
      <c r="E64" s="276" t="s">
        <v>1272</v>
      </c>
      <c r="F64" s="276" t="s">
        <v>1273</v>
      </c>
      <c r="G64" s="276" t="s">
        <v>1274</v>
      </c>
      <c r="H64" s="276" t="s">
        <v>1046</v>
      </c>
    </row>
    <row r="65" spans="1:8" ht="12.75">
      <c r="A65" s="268" t="s">
        <v>1040</v>
      </c>
      <c r="B65" s="269">
        <v>74700</v>
      </c>
      <c r="C65" s="269">
        <v>74700</v>
      </c>
      <c r="D65" s="269">
        <v>74700</v>
      </c>
      <c r="E65" s="269">
        <v>74700</v>
      </c>
      <c r="F65" s="269">
        <v>10100</v>
      </c>
      <c r="G65" s="269">
        <v>10100</v>
      </c>
      <c r="H65" s="269" t="s">
        <v>1049</v>
      </c>
    </row>
    <row r="66" spans="1:8" ht="25.5">
      <c r="A66" s="268" t="s">
        <v>1041</v>
      </c>
      <c r="B66" s="269">
        <v>27600</v>
      </c>
      <c r="C66" s="269">
        <v>27600</v>
      </c>
      <c r="D66" s="269">
        <v>27600</v>
      </c>
      <c r="E66" s="269">
        <v>27600</v>
      </c>
      <c r="F66" s="269">
        <v>27600</v>
      </c>
      <c r="G66" s="269">
        <v>27600</v>
      </c>
      <c r="H66" s="269" t="s">
        <v>1049</v>
      </c>
    </row>
    <row r="67" spans="1:8" ht="12.75">
      <c r="A67" s="268" t="s">
        <v>1042</v>
      </c>
      <c r="B67" s="269">
        <v>39200</v>
      </c>
      <c r="C67" s="269">
        <v>39200</v>
      </c>
      <c r="D67" s="269">
        <v>39200</v>
      </c>
      <c r="E67" s="269">
        <v>39200</v>
      </c>
      <c r="F67" s="269">
        <v>39200</v>
      </c>
      <c r="G67" s="269">
        <v>39200</v>
      </c>
      <c r="H67" s="269" t="s">
        <v>1049</v>
      </c>
    </row>
    <row r="68" spans="1:8" ht="12.75">
      <c r="A68" s="276" t="s">
        <v>1033</v>
      </c>
      <c r="B68" s="276" t="s">
        <v>1269</v>
      </c>
      <c r="C68" s="276" t="s">
        <v>1270</v>
      </c>
      <c r="D68" s="276" t="s">
        <v>1271</v>
      </c>
      <c r="E68" s="276" t="s">
        <v>1272</v>
      </c>
      <c r="F68" s="276" t="s">
        <v>1273</v>
      </c>
      <c r="G68" s="276" t="s">
        <v>1274</v>
      </c>
      <c r="H68" s="276" t="s">
        <v>1046</v>
      </c>
    </row>
    <row r="69" spans="1:8" ht="12.75">
      <c r="A69" s="268" t="s">
        <v>1043</v>
      </c>
      <c r="B69" s="270">
        <v>305000</v>
      </c>
      <c r="C69" s="270">
        <v>305000</v>
      </c>
      <c r="D69" s="270">
        <v>305000</v>
      </c>
      <c r="E69" s="270">
        <v>305000</v>
      </c>
      <c r="F69" s="270">
        <v>305000</v>
      </c>
      <c r="G69" s="270">
        <v>305000</v>
      </c>
      <c r="H69" s="270" t="s">
        <v>1050</v>
      </c>
    </row>
    <row r="70" spans="1:8" ht="12.75">
      <c r="A70" s="268" t="s">
        <v>1044</v>
      </c>
      <c r="B70" s="269">
        <v>1110000</v>
      </c>
      <c r="C70" s="269">
        <v>1110000</v>
      </c>
      <c r="D70" s="269">
        <v>943000</v>
      </c>
      <c r="E70" s="269">
        <v>943000</v>
      </c>
      <c r="F70" s="269">
        <v>0</v>
      </c>
      <c r="G70" s="269">
        <v>0</v>
      </c>
      <c r="H70" s="270" t="s">
        <v>1050</v>
      </c>
    </row>
    <row r="71" ht="12.75">
      <c r="A71" s="1" t="s">
        <v>1054</v>
      </c>
    </row>
    <row r="72" spans="1:8" ht="12.75">
      <c r="A72" s="276" t="s">
        <v>1033</v>
      </c>
      <c r="B72" s="276" t="s">
        <v>1269</v>
      </c>
      <c r="C72" s="276" t="s">
        <v>1270</v>
      </c>
      <c r="D72" s="276" t="s">
        <v>1271</v>
      </c>
      <c r="E72" s="276" t="s">
        <v>1272</v>
      </c>
      <c r="F72" s="276" t="s">
        <v>1273</v>
      </c>
      <c r="G72" s="276" t="s">
        <v>1274</v>
      </c>
      <c r="H72" s="276" t="s">
        <v>1046</v>
      </c>
    </row>
    <row r="73" spans="1:8" ht="12.75">
      <c r="A73" s="268" t="s">
        <v>1034</v>
      </c>
      <c r="B73" s="277">
        <v>20.6</v>
      </c>
      <c r="C73" s="277">
        <v>20.6</v>
      </c>
      <c r="D73" s="277">
        <v>20.4</v>
      </c>
      <c r="E73" s="277">
        <v>20.4</v>
      </c>
      <c r="F73" s="277">
        <v>8.61</v>
      </c>
      <c r="G73" s="277">
        <v>8.61</v>
      </c>
      <c r="H73" s="269" t="s">
        <v>556</v>
      </c>
    </row>
    <row r="74" spans="1:8" ht="12.75">
      <c r="A74" s="268" t="s">
        <v>1035</v>
      </c>
      <c r="B74" s="277">
        <v>0.128</v>
      </c>
      <c r="C74" s="277">
        <v>0.128</v>
      </c>
      <c r="D74" s="277">
        <v>0.127</v>
      </c>
      <c r="E74" s="277">
        <v>0.127</v>
      </c>
      <c r="F74" s="277">
        <v>0.224</v>
      </c>
      <c r="G74" s="277">
        <v>0.224</v>
      </c>
      <c r="H74" s="269" t="s">
        <v>556</v>
      </c>
    </row>
    <row r="75" spans="1:8" ht="12.75">
      <c r="A75" s="268" t="s">
        <v>1036</v>
      </c>
      <c r="B75" s="277">
        <v>123</v>
      </c>
      <c r="C75" s="277">
        <v>123</v>
      </c>
      <c r="D75" s="277">
        <v>122</v>
      </c>
      <c r="E75" s="277">
        <v>122</v>
      </c>
      <c r="F75" s="277">
        <v>112</v>
      </c>
      <c r="G75" s="277">
        <v>112</v>
      </c>
      <c r="H75" s="269" t="s">
        <v>556</v>
      </c>
    </row>
    <row r="76" spans="1:8" ht="12.75">
      <c r="A76" s="268" t="s">
        <v>1037</v>
      </c>
      <c r="B76" s="277">
        <v>47.9</v>
      </c>
      <c r="C76" s="277">
        <v>47.9</v>
      </c>
      <c r="D76" s="277">
        <v>47.6</v>
      </c>
      <c r="E76" s="277">
        <v>47.6</v>
      </c>
      <c r="F76" s="277">
        <v>86.7</v>
      </c>
      <c r="G76" s="277">
        <v>86.7</v>
      </c>
      <c r="H76" s="269" t="s">
        <v>556</v>
      </c>
    </row>
    <row r="77" spans="1:8" ht="12.75">
      <c r="A77" s="268" t="s">
        <v>1038</v>
      </c>
      <c r="B77" s="277">
        <v>0.655</v>
      </c>
      <c r="C77" s="277">
        <v>0.655</v>
      </c>
      <c r="D77" s="277">
        <v>0.66</v>
      </c>
      <c r="E77" s="277">
        <v>0.66</v>
      </c>
      <c r="F77" s="277">
        <v>0.143</v>
      </c>
      <c r="G77" s="277">
        <v>0.143</v>
      </c>
      <c r="H77" s="269" t="s">
        <v>556</v>
      </c>
    </row>
    <row r="78" spans="1:8" ht="12.75">
      <c r="A78" s="268" t="s">
        <v>1039</v>
      </c>
      <c r="B78" s="277">
        <v>0.0109</v>
      </c>
      <c r="C78" s="277">
        <v>0.0109</v>
      </c>
      <c r="D78" s="277">
        <v>0.0108</v>
      </c>
      <c r="E78" s="277">
        <v>0.0108</v>
      </c>
      <c r="F78" s="277">
        <v>0.0165</v>
      </c>
      <c r="G78" s="277">
        <v>0.0165</v>
      </c>
      <c r="H78" s="269" t="s">
        <v>556</v>
      </c>
    </row>
    <row r="79" spans="1:8" ht="12.75">
      <c r="A79" s="268" t="s">
        <v>1040</v>
      </c>
      <c r="B79" s="277">
        <v>13.1</v>
      </c>
      <c r="C79" s="277">
        <v>13.1</v>
      </c>
      <c r="D79" s="277">
        <v>13.1</v>
      </c>
      <c r="E79" s="277">
        <v>13.1</v>
      </c>
      <c r="F79" s="277">
        <v>1.81</v>
      </c>
      <c r="G79" s="277">
        <v>1.81</v>
      </c>
      <c r="H79" s="269" t="s">
        <v>556</v>
      </c>
    </row>
    <row r="80" spans="1:8" ht="25.5">
      <c r="A80" s="268" t="s">
        <v>1041</v>
      </c>
      <c r="B80" s="277">
        <v>4.83</v>
      </c>
      <c r="C80" s="277">
        <v>4.83</v>
      </c>
      <c r="D80" s="277">
        <v>4.83</v>
      </c>
      <c r="E80" s="277">
        <v>4.83</v>
      </c>
      <c r="F80" s="277">
        <v>4.93</v>
      </c>
      <c r="G80" s="277">
        <v>4.93</v>
      </c>
      <c r="H80" s="269" t="s">
        <v>556</v>
      </c>
    </row>
    <row r="81" spans="1:8" ht="12.75">
      <c r="A81" s="268" t="s">
        <v>1042</v>
      </c>
      <c r="B81" s="277">
        <v>6.84</v>
      </c>
      <c r="C81" s="277">
        <v>6.84</v>
      </c>
      <c r="D81" s="277">
        <v>6.84</v>
      </c>
      <c r="E81" s="277">
        <v>6.84</v>
      </c>
      <c r="F81" s="277">
        <v>6.99</v>
      </c>
      <c r="G81" s="277">
        <v>6.99</v>
      </c>
      <c r="H81" s="269" t="s">
        <v>556</v>
      </c>
    </row>
    <row r="82" spans="1:8" ht="12.75">
      <c r="A82" s="268" t="s">
        <v>1043</v>
      </c>
      <c r="B82" s="278">
        <v>40.4</v>
      </c>
      <c r="C82" s="278">
        <v>40.4</v>
      </c>
      <c r="D82" s="278">
        <v>54.5</v>
      </c>
      <c r="E82" s="278">
        <v>54.5</v>
      </c>
      <c r="F82" s="278">
        <v>878</v>
      </c>
      <c r="G82" s="278">
        <v>878</v>
      </c>
      <c r="H82" s="270" t="s">
        <v>556</v>
      </c>
    </row>
    <row r="83" spans="1:8" ht="12.75">
      <c r="A83" s="268" t="s">
        <v>1044</v>
      </c>
      <c r="B83" s="277">
        <v>147</v>
      </c>
      <c r="C83" s="277">
        <v>147</v>
      </c>
      <c r="D83" s="277">
        <v>169</v>
      </c>
      <c r="E83" s="277">
        <v>169</v>
      </c>
      <c r="F83" s="277">
        <v>0</v>
      </c>
      <c r="G83" s="277">
        <v>0</v>
      </c>
      <c r="H83" s="270" t="s">
        <v>556</v>
      </c>
    </row>
    <row r="84" ht="12.75">
      <c r="A84" s="1" t="s">
        <v>1055</v>
      </c>
    </row>
    <row r="85" spans="1:8" ht="12.75">
      <c r="A85" s="276" t="s">
        <v>1033</v>
      </c>
      <c r="B85" s="276" t="s">
        <v>1269</v>
      </c>
      <c r="C85" s="276" t="s">
        <v>1270</v>
      </c>
      <c r="D85" s="276" t="s">
        <v>1271</v>
      </c>
      <c r="E85" s="276" t="s">
        <v>1272</v>
      </c>
      <c r="F85" s="276" t="s">
        <v>1273</v>
      </c>
      <c r="G85" s="276" t="s">
        <v>1274</v>
      </c>
      <c r="H85" s="276" t="s">
        <v>1046</v>
      </c>
    </row>
    <row r="86" spans="1:8" ht="12.75">
      <c r="A86" s="268" t="s">
        <v>1034</v>
      </c>
      <c r="B86" s="269">
        <v>8230</v>
      </c>
      <c r="C86" s="269">
        <v>6170</v>
      </c>
      <c r="D86" s="269">
        <v>8160</v>
      </c>
      <c r="E86" s="269">
        <v>6120</v>
      </c>
      <c r="F86" s="269">
        <v>3440</v>
      </c>
      <c r="G86" s="269">
        <v>4730</v>
      </c>
      <c r="H86" s="269" t="s">
        <v>1051</v>
      </c>
    </row>
    <row r="87" spans="1:8" ht="12.75">
      <c r="A87" s="268" t="s">
        <v>1035</v>
      </c>
      <c r="B87" s="277">
        <v>51.1</v>
      </c>
      <c r="C87" s="277">
        <v>38.4</v>
      </c>
      <c r="D87" s="277">
        <v>50.7</v>
      </c>
      <c r="E87" s="277">
        <v>38.1</v>
      </c>
      <c r="F87" s="277">
        <v>89.5</v>
      </c>
      <c r="G87" s="277">
        <v>123</v>
      </c>
      <c r="H87" s="269" t="s">
        <v>1051</v>
      </c>
    </row>
    <row r="88" spans="1:8" ht="12.75">
      <c r="A88" s="268" t="s">
        <v>1036</v>
      </c>
      <c r="B88" s="269">
        <v>49000</v>
      </c>
      <c r="C88" s="269">
        <v>36800</v>
      </c>
      <c r="D88" s="269">
        <v>48900</v>
      </c>
      <c r="E88" s="269">
        <v>36700</v>
      </c>
      <c r="F88" s="269">
        <v>44700</v>
      </c>
      <c r="G88" s="269">
        <v>61400</v>
      </c>
      <c r="H88" s="269" t="s">
        <v>1051</v>
      </c>
    </row>
    <row r="89" spans="1:8" ht="12.75">
      <c r="A89" s="268" t="s">
        <v>1037</v>
      </c>
      <c r="B89" s="269">
        <v>19200</v>
      </c>
      <c r="C89" s="269">
        <v>14400</v>
      </c>
      <c r="D89" s="269">
        <v>19000</v>
      </c>
      <c r="E89" s="269">
        <v>14300</v>
      </c>
      <c r="F89" s="269">
        <v>34700</v>
      </c>
      <c r="G89" s="269">
        <v>47700</v>
      </c>
      <c r="H89" s="269" t="s">
        <v>1051</v>
      </c>
    </row>
    <row r="90" spans="1:8" ht="12.75">
      <c r="A90" s="268" t="s">
        <v>1038</v>
      </c>
      <c r="B90" s="277">
        <v>266</v>
      </c>
      <c r="C90" s="277">
        <v>200</v>
      </c>
      <c r="D90" s="277">
        <v>264</v>
      </c>
      <c r="E90" s="277">
        <v>198</v>
      </c>
      <c r="F90" s="277">
        <v>57.2</v>
      </c>
      <c r="G90" s="277">
        <v>78.6</v>
      </c>
      <c r="H90" s="269" t="s">
        <v>1051</v>
      </c>
    </row>
    <row r="91" spans="1:8" ht="12.75">
      <c r="A91" s="268" t="s">
        <v>1039</v>
      </c>
      <c r="B91" s="277">
        <v>4.34</v>
      </c>
      <c r="C91" s="277">
        <v>3.26</v>
      </c>
      <c r="D91" s="277">
        <v>4.31</v>
      </c>
      <c r="E91" s="277">
        <v>3.23</v>
      </c>
      <c r="F91" s="277">
        <v>6.62</v>
      </c>
      <c r="G91" s="277">
        <v>9.1</v>
      </c>
      <c r="H91" s="269" t="s">
        <v>1051</v>
      </c>
    </row>
    <row r="92" spans="1:8" ht="12.75">
      <c r="A92" s="268" t="s">
        <v>1040</v>
      </c>
      <c r="B92" s="269">
        <v>5220</v>
      </c>
      <c r="C92" s="269">
        <v>5220</v>
      </c>
      <c r="D92" s="269">
        <v>5220</v>
      </c>
      <c r="E92" s="269">
        <v>6530</v>
      </c>
      <c r="F92" s="269">
        <v>723</v>
      </c>
      <c r="G92" s="269">
        <v>452</v>
      </c>
      <c r="H92" s="269" t="s">
        <v>1051</v>
      </c>
    </row>
    <row r="93" spans="1:8" ht="25.5">
      <c r="A93" s="268" t="s">
        <v>1041</v>
      </c>
      <c r="B93" s="269">
        <v>1930</v>
      </c>
      <c r="C93" s="269">
        <v>1930</v>
      </c>
      <c r="D93" s="269">
        <v>1930</v>
      </c>
      <c r="E93" s="269">
        <v>2420</v>
      </c>
      <c r="F93" s="269">
        <v>1970</v>
      </c>
      <c r="G93" s="269">
        <v>1230</v>
      </c>
      <c r="H93" s="269" t="s">
        <v>1051</v>
      </c>
    </row>
    <row r="94" spans="1:8" ht="12.75">
      <c r="A94" s="268" t="s">
        <v>1042</v>
      </c>
      <c r="B94" s="269">
        <v>2740</v>
      </c>
      <c r="C94" s="269">
        <v>2740</v>
      </c>
      <c r="D94" s="269">
        <v>2740</v>
      </c>
      <c r="E94" s="269">
        <v>3420</v>
      </c>
      <c r="F94" s="269">
        <v>2790</v>
      </c>
      <c r="G94" s="269">
        <v>1750</v>
      </c>
      <c r="H94" s="269" t="s">
        <v>1051</v>
      </c>
    </row>
    <row r="95" spans="1:8" ht="12.75">
      <c r="A95" s="268" t="s">
        <v>1043</v>
      </c>
      <c r="B95" s="270">
        <v>8080</v>
      </c>
      <c r="C95" s="270">
        <v>12100</v>
      </c>
      <c r="D95" s="270">
        <v>10900</v>
      </c>
      <c r="E95" s="270">
        <v>10900</v>
      </c>
      <c r="F95" s="270">
        <v>176000</v>
      </c>
      <c r="G95" s="270">
        <v>176000</v>
      </c>
      <c r="H95" s="270" t="s">
        <v>1051</v>
      </c>
    </row>
    <row r="96" spans="1:8" ht="12.75">
      <c r="A96" s="268" t="s">
        <v>1044</v>
      </c>
      <c r="B96" s="269">
        <v>29400</v>
      </c>
      <c r="C96" s="269">
        <v>44100</v>
      </c>
      <c r="D96" s="269">
        <v>33700</v>
      </c>
      <c r="E96" s="269">
        <v>33700</v>
      </c>
      <c r="F96" s="269">
        <v>0</v>
      </c>
      <c r="G96" s="269">
        <v>0</v>
      </c>
      <c r="H96" s="269" t="s">
        <v>1051</v>
      </c>
    </row>
    <row r="97" spans="1:8" ht="12.75">
      <c r="A97" s="271" t="s">
        <v>555</v>
      </c>
      <c r="B97" s="272">
        <f aca="true" t="shared" si="0" ref="B97:G97">SUM(B86:B96)</f>
        <v>124121.44</v>
      </c>
      <c r="C97" s="272">
        <f t="shared" si="0"/>
        <v>123701.66</v>
      </c>
      <c r="D97" s="272">
        <f t="shared" si="0"/>
        <v>130869.01</v>
      </c>
      <c r="E97" s="272">
        <f t="shared" si="0"/>
        <v>114329.33</v>
      </c>
      <c r="F97" s="272">
        <f t="shared" si="0"/>
        <v>264476.32</v>
      </c>
      <c r="G97" s="272">
        <f t="shared" si="0"/>
        <v>293472.7</v>
      </c>
      <c r="H97" s="272" t="s">
        <v>1051</v>
      </c>
    </row>
    <row r="98" spans="1:8" ht="12.75">
      <c r="A98" s="273" t="s">
        <v>1045</v>
      </c>
      <c r="B98" s="275">
        <v>124000</v>
      </c>
      <c r="C98" s="275">
        <v>124000</v>
      </c>
      <c r="D98" s="275">
        <v>131000</v>
      </c>
      <c r="E98" s="275">
        <v>114000</v>
      </c>
      <c r="F98" s="275">
        <v>264000</v>
      </c>
      <c r="G98" s="275">
        <v>293000</v>
      </c>
      <c r="H98" s="269" t="s">
        <v>1051</v>
      </c>
    </row>
    <row r="102" ht="12.75">
      <c r="A102" s="1" t="s">
        <v>700</v>
      </c>
    </row>
    <row r="103" spans="1:8" ht="12.75">
      <c r="A103" s="276" t="s">
        <v>1033</v>
      </c>
      <c r="B103" s="276" t="s">
        <v>1269</v>
      </c>
      <c r="C103" s="276" t="s">
        <v>1270</v>
      </c>
      <c r="D103" s="276" t="s">
        <v>1271</v>
      </c>
      <c r="E103" s="276" t="s">
        <v>1272</v>
      </c>
      <c r="F103" s="276" t="s">
        <v>1273</v>
      </c>
      <c r="G103" s="276" t="s">
        <v>1274</v>
      </c>
      <c r="H103" s="276" t="s">
        <v>1046</v>
      </c>
    </row>
    <row r="104" spans="1:8" ht="12.75">
      <c r="A104" s="268" t="s">
        <v>1034</v>
      </c>
      <c r="B104" s="269">
        <v>994</v>
      </c>
      <c r="C104" s="269">
        <v>746</v>
      </c>
      <c r="D104" s="269">
        <v>987</v>
      </c>
      <c r="E104" s="269">
        <v>740</v>
      </c>
      <c r="F104" s="269">
        <v>534</v>
      </c>
      <c r="G104" s="269">
        <v>734</v>
      </c>
      <c r="H104" s="269" t="s">
        <v>1051</v>
      </c>
    </row>
    <row r="105" spans="1:8" ht="12.75">
      <c r="A105" s="268" t="s">
        <v>1035</v>
      </c>
      <c r="B105" s="277">
        <v>8.13</v>
      </c>
      <c r="C105" s="277">
        <v>6.09</v>
      </c>
      <c r="D105" s="277">
        <v>8.06</v>
      </c>
      <c r="E105" s="277">
        <v>6.05</v>
      </c>
      <c r="F105" s="277">
        <v>14.2</v>
      </c>
      <c r="G105" s="277">
        <v>19.6</v>
      </c>
      <c r="H105" s="269" t="s">
        <v>1051</v>
      </c>
    </row>
    <row r="106" spans="1:8" ht="12.75">
      <c r="A106" s="268" t="s">
        <v>1036</v>
      </c>
      <c r="B106" s="269">
        <v>13600</v>
      </c>
      <c r="C106" s="269">
        <v>10200</v>
      </c>
      <c r="D106" s="269">
        <v>13600</v>
      </c>
      <c r="E106" s="269">
        <v>10200</v>
      </c>
      <c r="F106" s="269">
        <v>13800</v>
      </c>
      <c r="G106" s="269">
        <v>19000</v>
      </c>
      <c r="H106" s="269" t="s">
        <v>1051</v>
      </c>
    </row>
    <row r="107" spans="1:8" ht="12.75">
      <c r="A107" s="268" t="s">
        <v>1037</v>
      </c>
      <c r="B107" s="269">
        <v>2300</v>
      </c>
      <c r="C107" s="269">
        <v>1730</v>
      </c>
      <c r="D107" s="269">
        <v>2280</v>
      </c>
      <c r="E107" s="269">
        <v>1710</v>
      </c>
      <c r="F107" s="269">
        <v>4150</v>
      </c>
      <c r="G107" s="269">
        <v>5700</v>
      </c>
      <c r="H107" s="269" t="s">
        <v>1051</v>
      </c>
    </row>
    <row r="108" spans="1:8" ht="12.75">
      <c r="A108" s="268" t="s">
        <v>1038</v>
      </c>
      <c r="B108" s="277">
        <v>120</v>
      </c>
      <c r="C108" s="277">
        <v>89.7</v>
      </c>
      <c r="D108" s="277">
        <v>119</v>
      </c>
      <c r="E108" s="277">
        <v>89</v>
      </c>
      <c r="F108" s="277">
        <v>26.3</v>
      </c>
      <c r="G108" s="277">
        <v>36.2</v>
      </c>
      <c r="H108" s="269" t="s">
        <v>1051</v>
      </c>
    </row>
    <row r="109" spans="1:8" ht="12.75">
      <c r="A109" s="268" t="s">
        <v>1039</v>
      </c>
      <c r="B109" s="277">
        <v>0.868</v>
      </c>
      <c r="C109" s="277">
        <v>0.651</v>
      </c>
      <c r="D109" s="277">
        <v>0.861</v>
      </c>
      <c r="E109" s="277">
        <v>0.646</v>
      </c>
      <c r="F109" s="277">
        <v>1.32</v>
      </c>
      <c r="G109" s="277">
        <v>1.82</v>
      </c>
      <c r="H109" s="269" t="s">
        <v>1051</v>
      </c>
    </row>
    <row r="110" spans="1:8" ht="12.75">
      <c r="A110" s="268" t="s">
        <v>1040</v>
      </c>
      <c r="B110" s="269">
        <v>779</v>
      </c>
      <c r="C110" s="269">
        <v>779</v>
      </c>
      <c r="D110" s="269">
        <v>779</v>
      </c>
      <c r="E110" s="269">
        <v>974</v>
      </c>
      <c r="F110" s="269">
        <v>91.2</v>
      </c>
      <c r="G110" s="269">
        <v>57</v>
      </c>
      <c r="H110" s="269" t="s">
        <v>1051</v>
      </c>
    </row>
    <row r="111" spans="1:8" ht="25.5">
      <c r="A111" s="268" t="s">
        <v>1041</v>
      </c>
      <c r="B111" s="269">
        <v>421</v>
      </c>
      <c r="C111" s="269">
        <v>421</v>
      </c>
      <c r="D111" s="269">
        <v>421</v>
      </c>
      <c r="E111" s="269">
        <v>527</v>
      </c>
      <c r="F111" s="269">
        <v>430</v>
      </c>
      <c r="G111" s="269">
        <v>269</v>
      </c>
      <c r="H111" s="269" t="s">
        <v>1051</v>
      </c>
    </row>
    <row r="112" spans="1:8" ht="12.75">
      <c r="A112" s="268" t="s">
        <v>1042</v>
      </c>
      <c r="B112" s="269">
        <v>355</v>
      </c>
      <c r="C112" s="269">
        <v>355</v>
      </c>
      <c r="D112" s="269">
        <v>355</v>
      </c>
      <c r="E112" s="269">
        <v>444</v>
      </c>
      <c r="F112" s="269">
        <v>362</v>
      </c>
      <c r="G112" s="269">
        <v>226</v>
      </c>
      <c r="H112" s="269" t="s">
        <v>1051</v>
      </c>
    </row>
    <row r="113" spans="1:8" ht="12.75">
      <c r="A113" s="268" t="s">
        <v>1043</v>
      </c>
      <c r="B113" s="270">
        <v>853</v>
      </c>
      <c r="C113" s="270">
        <v>1280</v>
      </c>
      <c r="D113" s="270">
        <v>1150</v>
      </c>
      <c r="E113" s="270">
        <v>1150</v>
      </c>
      <c r="F113" s="270">
        <v>18500</v>
      </c>
      <c r="G113" s="270">
        <v>18500</v>
      </c>
      <c r="H113" s="270" t="s">
        <v>1051</v>
      </c>
    </row>
    <row r="114" spans="1:8" ht="12.75">
      <c r="A114" s="268" t="s">
        <v>1044</v>
      </c>
      <c r="B114" s="269">
        <v>5540</v>
      </c>
      <c r="C114" s="269">
        <v>8310</v>
      </c>
      <c r="D114" s="269">
        <v>6690</v>
      </c>
      <c r="E114" s="269">
        <v>6690</v>
      </c>
      <c r="F114" s="269">
        <v>0</v>
      </c>
      <c r="G114" s="269">
        <v>0</v>
      </c>
      <c r="H114" s="269" t="s">
        <v>1051</v>
      </c>
    </row>
    <row r="115" spans="1:8" ht="12.75">
      <c r="A115" s="271" t="s">
        <v>555</v>
      </c>
      <c r="B115" s="272">
        <f aca="true" t="shared" si="1" ref="B115:G115">SUM(B104:B114)</f>
        <v>24970.997999999996</v>
      </c>
      <c r="C115" s="272">
        <f t="shared" si="1"/>
        <v>23917.441</v>
      </c>
      <c r="D115" s="272">
        <f t="shared" si="1"/>
        <v>26389.921</v>
      </c>
      <c r="E115" s="272">
        <f t="shared" si="1"/>
        <v>22530.696</v>
      </c>
      <c r="F115" s="272">
        <f t="shared" si="1"/>
        <v>37909.020000000004</v>
      </c>
      <c r="G115" s="272">
        <f t="shared" si="1"/>
        <v>44543.619999999995</v>
      </c>
      <c r="H115" s="272" t="s">
        <v>1051</v>
      </c>
    </row>
    <row r="116" spans="1:8" ht="12.75">
      <c r="A116" s="273" t="s">
        <v>1045</v>
      </c>
      <c r="B116" s="275">
        <v>25000</v>
      </c>
      <c r="C116" s="275">
        <v>23900</v>
      </c>
      <c r="D116" s="275">
        <v>26400</v>
      </c>
      <c r="E116" s="275">
        <v>22500</v>
      </c>
      <c r="F116" s="275">
        <v>38000</v>
      </c>
      <c r="G116" s="275">
        <v>44600</v>
      </c>
      <c r="H116" s="269" t="s">
        <v>1051</v>
      </c>
    </row>
    <row r="117" ht="12.75">
      <c r="A117" s="1" t="s">
        <v>701</v>
      </c>
    </row>
    <row r="118" spans="1:8" ht="12.75">
      <c r="A118" s="276" t="s">
        <v>1033</v>
      </c>
      <c r="B118" s="276" t="s">
        <v>1269</v>
      </c>
      <c r="C118" s="276" t="s">
        <v>1270</v>
      </c>
      <c r="D118" s="276" t="s">
        <v>1271</v>
      </c>
      <c r="E118" s="276" t="s">
        <v>1272</v>
      </c>
      <c r="F118" s="276" t="s">
        <v>1273</v>
      </c>
      <c r="G118" s="276" t="s">
        <v>1274</v>
      </c>
      <c r="H118" s="276" t="s">
        <v>1046</v>
      </c>
    </row>
    <row r="119" spans="1:8" ht="12.75">
      <c r="A119" s="268" t="s">
        <v>1034</v>
      </c>
      <c r="B119" s="269">
        <v>8710</v>
      </c>
      <c r="C119" s="269">
        <v>6530</v>
      </c>
      <c r="D119" s="269">
        <v>8640</v>
      </c>
      <c r="E119" s="269">
        <v>6480</v>
      </c>
      <c r="F119" s="269">
        <v>8250</v>
      </c>
      <c r="G119" s="269">
        <v>11300</v>
      </c>
      <c r="H119" s="269" t="s">
        <v>1051</v>
      </c>
    </row>
    <row r="120" spans="1:8" ht="12.75">
      <c r="A120" s="268" t="s">
        <v>1035</v>
      </c>
      <c r="B120" s="277">
        <v>-0.247</v>
      </c>
      <c r="C120" s="277">
        <v>-0.185</v>
      </c>
      <c r="D120" s="277">
        <v>-0.245</v>
      </c>
      <c r="E120" s="277">
        <v>-0.184</v>
      </c>
      <c r="F120" s="277">
        <v>-0.626</v>
      </c>
      <c r="G120" s="277">
        <v>-0.861</v>
      </c>
      <c r="H120" s="269" t="s">
        <v>1051</v>
      </c>
    </row>
    <row r="121" spans="1:8" ht="12.75">
      <c r="A121" s="268" t="s">
        <v>1036</v>
      </c>
      <c r="B121" s="269">
        <v>-53200</v>
      </c>
      <c r="C121" s="269">
        <v>-39900</v>
      </c>
      <c r="D121" s="269">
        <v>-53400</v>
      </c>
      <c r="E121" s="269">
        <v>-40000</v>
      </c>
      <c r="F121" s="269">
        <v>-69700</v>
      </c>
      <c r="G121" s="269">
        <v>-95900</v>
      </c>
      <c r="H121" s="269" t="s">
        <v>1051</v>
      </c>
    </row>
    <row r="122" spans="1:8" ht="12.75">
      <c r="A122" s="268" t="s">
        <v>1037</v>
      </c>
      <c r="B122" s="269">
        <v>-6100</v>
      </c>
      <c r="C122" s="269">
        <v>-4580</v>
      </c>
      <c r="D122" s="269">
        <v>-6050</v>
      </c>
      <c r="E122" s="269">
        <v>-4540</v>
      </c>
      <c r="F122" s="269">
        <v>-11000</v>
      </c>
      <c r="G122" s="269">
        <v>-15100</v>
      </c>
      <c r="H122" s="269" t="s">
        <v>1051</v>
      </c>
    </row>
    <row r="123" spans="1:8" ht="12.75">
      <c r="A123" s="268" t="s">
        <v>1038</v>
      </c>
      <c r="B123" s="277">
        <v>141</v>
      </c>
      <c r="C123" s="277">
        <v>106</v>
      </c>
      <c r="D123" s="277">
        <v>140</v>
      </c>
      <c r="E123" s="277">
        <v>105</v>
      </c>
      <c r="F123" s="277">
        <v>30.9</v>
      </c>
      <c r="G123" s="277">
        <v>42.5</v>
      </c>
      <c r="H123" s="269" t="s">
        <v>1051</v>
      </c>
    </row>
    <row r="124" spans="1:8" ht="12.75">
      <c r="A124" s="268" t="s">
        <v>1039</v>
      </c>
      <c r="B124" s="277">
        <v>0.88</v>
      </c>
      <c r="C124" s="277">
        <v>0.66</v>
      </c>
      <c r="D124" s="277">
        <v>0.873</v>
      </c>
      <c r="E124" s="277">
        <v>0.655</v>
      </c>
      <c r="F124" s="277">
        <v>1.34</v>
      </c>
      <c r="G124" s="277">
        <v>1.84</v>
      </c>
      <c r="H124" s="269" t="s">
        <v>1051</v>
      </c>
    </row>
    <row r="125" spans="1:8" ht="12.75">
      <c r="A125" s="268" t="s">
        <v>1040</v>
      </c>
      <c r="B125" s="269">
        <v>4060</v>
      </c>
      <c r="C125" s="269">
        <v>4060</v>
      </c>
      <c r="D125" s="269">
        <v>4060</v>
      </c>
      <c r="E125" s="269">
        <v>5080</v>
      </c>
      <c r="F125" s="269">
        <v>979</v>
      </c>
      <c r="G125" s="269">
        <v>612</v>
      </c>
      <c r="H125" s="269" t="s">
        <v>1051</v>
      </c>
    </row>
    <row r="126" spans="1:8" ht="25.5">
      <c r="A126" s="268" t="s">
        <v>1041</v>
      </c>
      <c r="B126" s="269">
        <v>-342</v>
      </c>
      <c r="C126" s="269">
        <v>-342</v>
      </c>
      <c r="D126" s="269">
        <v>-342</v>
      </c>
      <c r="E126" s="269">
        <v>-427</v>
      </c>
      <c r="F126" s="269">
        <v>-349</v>
      </c>
      <c r="G126" s="269">
        <v>-218</v>
      </c>
      <c r="H126" s="269" t="s">
        <v>1051</v>
      </c>
    </row>
    <row r="127" spans="1:8" ht="12.75">
      <c r="A127" s="268" t="s">
        <v>1042</v>
      </c>
      <c r="B127" s="269">
        <v>-138</v>
      </c>
      <c r="C127" s="269">
        <v>-138</v>
      </c>
      <c r="D127" s="269">
        <v>-138</v>
      </c>
      <c r="E127" s="269">
        <v>-172</v>
      </c>
      <c r="F127" s="269">
        <v>-141</v>
      </c>
      <c r="G127" s="269">
        <v>-87.9</v>
      </c>
      <c r="H127" s="269" t="s">
        <v>1051</v>
      </c>
    </row>
    <row r="128" spans="1:8" ht="12.75">
      <c r="A128" s="268" t="s">
        <v>1043</v>
      </c>
      <c r="B128" s="270">
        <v>-4970</v>
      </c>
      <c r="C128" s="270">
        <v>-7460</v>
      </c>
      <c r="D128" s="270">
        <v>-6710</v>
      </c>
      <c r="E128" s="270">
        <v>-6710</v>
      </c>
      <c r="F128" s="270">
        <v>-108000</v>
      </c>
      <c r="G128" s="270">
        <v>-108000</v>
      </c>
      <c r="H128" s="270" t="s">
        <v>1051</v>
      </c>
    </row>
    <row r="129" spans="1:8" ht="12.75">
      <c r="A129" s="268" t="s">
        <v>1044</v>
      </c>
      <c r="B129" s="269">
        <v>3420</v>
      </c>
      <c r="C129" s="269">
        <v>5130</v>
      </c>
      <c r="D129" s="269">
        <v>-20600</v>
      </c>
      <c r="E129" s="269">
        <v>-20600</v>
      </c>
      <c r="F129" s="269">
        <v>0</v>
      </c>
      <c r="G129" s="269">
        <v>0</v>
      </c>
      <c r="H129" s="269" t="s">
        <v>1051</v>
      </c>
    </row>
    <row r="130" spans="1:8" ht="12.75">
      <c r="A130" s="271" t="s">
        <v>555</v>
      </c>
      <c r="B130" s="272">
        <f aca="true" t="shared" si="2" ref="B130:G130">SUM(B119:B129)</f>
        <v>-48418.367000000006</v>
      </c>
      <c r="C130" s="272">
        <f t="shared" si="2"/>
        <v>-36593.524999999994</v>
      </c>
      <c r="D130" s="272">
        <f t="shared" si="2"/>
        <v>-74399.372</v>
      </c>
      <c r="E130" s="272">
        <f t="shared" si="2"/>
        <v>-60783.529</v>
      </c>
      <c r="F130" s="272">
        <f t="shared" si="2"/>
        <v>-179929.386</v>
      </c>
      <c r="G130" s="272">
        <f t="shared" si="2"/>
        <v>-207350.421</v>
      </c>
      <c r="H130" s="272" t="s">
        <v>1051</v>
      </c>
    </row>
    <row r="131" spans="1:8" ht="12.75">
      <c r="A131" s="273" t="s">
        <v>1045</v>
      </c>
      <c r="B131" s="275">
        <v>-48400</v>
      </c>
      <c r="C131" s="275">
        <v>-36600</v>
      </c>
      <c r="D131" s="275">
        <v>-74400</v>
      </c>
      <c r="E131" s="275">
        <v>-60800</v>
      </c>
      <c r="F131" s="275">
        <v>-180000</v>
      </c>
      <c r="G131" s="275">
        <v>-207000</v>
      </c>
      <c r="H131" s="269" t="s">
        <v>1051</v>
      </c>
    </row>
    <row r="132" spans="1:6" ht="12.75">
      <c r="A132" s="323" t="s">
        <v>484</v>
      </c>
      <c r="B132" s="324"/>
      <c r="C132" s="324"/>
      <c r="D132" s="324"/>
      <c r="E132" s="324"/>
      <c r="F132" s="324"/>
    </row>
    <row r="133" spans="1:5" ht="25.5">
      <c r="A133" s="43"/>
      <c r="B133" s="55" t="s">
        <v>1275</v>
      </c>
      <c r="C133" s="55" t="s">
        <v>1277</v>
      </c>
      <c r="D133" s="55" t="s">
        <v>1276</v>
      </c>
      <c r="E133" s="55" t="s">
        <v>447</v>
      </c>
    </row>
    <row r="134" spans="1:5" ht="25.5">
      <c r="A134" s="55" t="s">
        <v>257</v>
      </c>
      <c r="B134" s="58">
        <v>124000</v>
      </c>
      <c r="C134" s="58">
        <v>180000</v>
      </c>
      <c r="D134" s="58">
        <v>-48400</v>
      </c>
      <c r="E134" s="58">
        <v>-45400</v>
      </c>
    </row>
    <row r="135" spans="1:5" ht="25.5">
      <c r="A135" s="55" t="s">
        <v>448</v>
      </c>
      <c r="B135" s="58">
        <v>155000</v>
      </c>
      <c r="C135" s="58">
        <v>198000</v>
      </c>
      <c r="D135" s="58">
        <v>-55700</v>
      </c>
      <c r="E135" s="58">
        <v>-52900</v>
      </c>
    </row>
    <row r="136" spans="1:6" ht="12.75">
      <c r="A136" s="323" t="s">
        <v>263</v>
      </c>
      <c r="B136" s="324"/>
      <c r="C136" s="324"/>
      <c r="D136" s="324"/>
      <c r="E136" s="324"/>
      <c r="F136" s="324"/>
    </row>
    <row r="137" spans="1:5" ht="38.25">
      <c r="A137" s="43"/>
      <c r="B137" s="55" t="s">
        <v>258</v>
      </c>
      <c r="C137" s="55" t="s">
        <v>259</v>
      </c>
      <c r="D137" s="55" t="s">
        <v>260</v>
      </c>
      <c r="E137" s="55" t="s">
        <v>261</v>
      </c>
    </row>
    <row r="138" spans="1:5" ht="25.5">
      <c r="A138" s="55" t="s">
        <v>257</v>
      </c>
      <c r="B138" s="58">
        <v>124000</v>
      </c>
      <c r="C138" s="58">
        <v>180000</v>
      </c>
      <c r="D138" s="58">
        <v>25000</v>
      </c>
      <c r="E138" s="58">
        <v>28000</v>
      </c>
    </row>
    <row r="139" spans="1:5" ht="12.75">
      <c r="A139" s="55" t="s">
        <v>262</v>
      </c>
      <c r="B139" s="58">
        <v>155000</v>
      </c>
      <c r="C139" s="58">
        <v>198000</v>
      </c>
      <c r="D139" s="58">
        <v>23500</v>
      </c>
      <c r="E139" s="58">
        <v>26300</v>
      </c>
    </row>
    <row r="140" spans="1:6" ht="12.75">
      <c r="A140" s="323" t="s">
        <v>394</v>
      </c>
      <c r="B140" s="324"/>
      <c r="C140" s="324"/>
      <c r="D140" s="324"/>
      <c r="E140" s="324"/>
      <c r="F140" s="324"/>
    </row>
    <row r="141" spans="1:5" ht="38.25">
      <c r="A141" s="284" t="s">
        <v>392</v>
      </c>
      <c r="B141" s="279" t="s">
        <v>258</v>
      </c>
      <c r="C141" s="279" t="s">
        <v>259</v>
      </c>
      <c r="D141" s="279" t="s">
        <v>260</v>
      </c>
      <c r="E141" s="279" t="s">
        <v>261</v>
      </c>
    </row>
    <row r="142" spans="1:5" ht="25.5">
      <c r="A142" s="279" t="s">
        <v>264</v>
      </c>
      <c r="B142" s="280">
        <v>57000</v>
      </c>
      <c r="C142" s="280">
        <v>63400</v>
      </c>
      <c r="D142" s="280">
        <v>-17100</v>
      </c>
      <c r="E142" s="280">
        <v>-16300</v>
      </c>
    </row>
    <row r="143" spans="1:5" ht="12.75">
      <c r="A143" s="279" t="s">
        <v>265</v>
      </c>
      <c r="B143" s="280">
        <v>4.7</v>
      </c>
      <c r="C143" s="280">
        <v>6.09</v>
      </c>
      <c r="D143" s="280">
        <v>0.998</v>
      </c>
      <c r="E143" s="280">
        <v>1.29</v>
      </c>
    </row>
    <row r="144" spans="1:5" ht="12.75">
      <c r="A144" s="279" t="s">
        <v>266</v>
      </c>
      <c r="B144" s="275">
        <v>4840</v>
      </c>
      <c r="C144" s="275">
        <v>6600</v>
      </c>
      <c r="D144" s="275">
        <v>12000</v>
      </c>
      <c r="E144" s="275">
        <v>12000</v>
      </c>
    </row>
    <row r="145" spans="1:5" ht="12.75">
      <c r="A145" s="279" t="s">
        <v>267</v>
      </c>
      <c r="B145" s="274">
        <v>4.2</v>
      </c>
      <c r="C145" s="274">
        <v>5.29</v>
      </c>
      <c r="D145" s="275">
        <v>-1.19</v>
      </c>
      <c r="E145" s="274">
        <v>-1.02</v>
      </c>
    </row>
    <row r="146" spans="1:5" ht="12.75">
      <c r="A146" s="279" t="s">
        <v>268</v>
      </c>
      <c r="B146" s="275">
        <v>13300</v>
      </c>
      <c r="C146" s="275">
        <v>21100</v>
      </c>
      <c r="D146" s="275">
        <v>-14500</v>
      </c>
      <c r="E146" s="275">
        <v>-14300</v>
      </c>
    </row>
    <row r="147" spans="1:5" ht="12.75">
      <c r="A147" s="279" t="s">
        <v>269</v>
      </c>
      <c r="B147" s="274">
        <v>90.5</v>
      </c>
      <c r="C147" s="274">
        <v>120</v>
      </c>
      <c r="D147" s="274">
        <v>47.8</v>
      </c>
      <c r="E147" s="274">
        <v>48.1</v>
      </c>
    </row>
    <row r="148" spans="1:5" ht="25.5">
      <c r="A148" s="279" t="s">
        <v>270</v>
      </c>
      <c r="B148" s="275">
        <v>37300</v>
      </c>
      <c r="C148" s="275">
        <v>41400</v>
      </c>
      <c r="D148" s="275">
        <v>-11200</v>
      </c>
      <c r="E148" s="275">
        <v>-10700</v>
      </c>
    </row>
    <row r="149" spans="1:5" ht="12.75">
      <c r="A149" s="279" t="s">
        <v>271</v>
      </c>
      <c r="B149" s="274">
        <v>70.1</v>
      </c>
      <c r="C149" s="274">
        <v>95.9</v>
      </c>
      <c r="D149" s="274">
        <v>-15.8</v>
      </c>
      <c r="E149" s="274">
        <v>14.9</v>
      </c>
    </row>
    <row r="150" spans="1:5" ht="25.5">
      <c r="A150" s="279" t="s">
        <v>272</v>
      </c>
      <c r="B150" s="274">
        <v>21.4</v>
      </c>
      <c r="C150" s="274">
        <v>30.3</v>
      </c>
      <c r="D150" s="274">
        <v>-1.94</v>
      </c>
      <c r="E150" s="274">
        <v>1.89</v>
      </c>
    </row>
    <row r="151" spans="1:5" ht="12.75">
      <c r="A151" s="279" t="s">
        <v>273</v>
      </c>
      <c r="B151" s="274">
        <v>41.8</v>
      </c>
      <c r="C151" s="274">
        <v>62</v>
      </c>
      <c r="D151" s="283">
        <v>93.1</v>
      </c>
      <c r="E151" s="274">
        <v>94.6</v>
      </c>
    </row>
    <row r="152" spans="1:5" ht="12.75">
      <c r="A152" s="279" t="s">
        <v>274</v>
      </c>
      <c r="B152" s="274" t="s">
        <v>391</v>
      </c>
      <c r="C152" s="274">
        <v>0.348</v>
      </c>
      <c r="D152" s="274">
        <v>0.081</v>
      </c>
      <c r="E152" s="274">
        <v>0.0897</v>
      </c>
    </row>
    <row r="153" spans="1:5" ht="12.75">
      <c r="A153" s="279" t="s">
        <v>275</v>
      </c>
      <c r="B153" s="274">
        <v>0.00576</v>
      </c>
      <c r="C153" s="274">
        <v>0.00802</v>
      </c>
      <c r="D153" s="274">
        <v>0.00276</v>
      </c>
      <c r="E153" s="274">
        <v>0.0028</v>
      </c>
    </row>
    <row r="154" spans="1:5" ht="12.75">
      <c r="A154" s="279" t="s">
        <v>276</v>
      </c>
      <c r="B154" s="275">
        <v>4580</v>
      </c>
      <c r="C154" s="275">
        <v>5970</v>
      </c>
      <c r="D154" s="274">
        <v>-138</v>
      </c>
      <c r="E154" s="274">
        <v>-135</v>
      </c>
    </row>
    <row r="155" spans="1:5" ht="12.75">
      <c r="A155" s="279" t="s">
        <v>277</v>
      </c>
      <c r="B155" s="274">
        <v>895</v>
      </c>
      <c r="C155" s="275">
        <v>1390</v>
      </c>
      <c r="D155" s="274">
        <v>-147</v>
      </c>
      <c r="E155" s="274">
        <v>-133</v>
      </c>
    </row>
    <row r="156" spans="1:5" ht="16.5" customHeight="1">
      <c r="A156" s="279" t="s">
        <v>278</v>
      </c>
      <c r="B156" s="274">
        <v>361</v>
      </c>
      <c r="C156" s="274">
        <v>689</v>
      </c>
      <c r="D156" s="274">
        <v>-78.3</v>
      </c>
      <c r="E156" s="274">
        <v>-38.6</v>
      </c>
    </row>
    <row r="157" spans="1:5" ht="12.75">
      <c r="A157" s="279" t="s">
        <v>389</v>
      </c>
      <c r="B157" s="274">
        <v>251</v>
      </c>
      <c r="C157" s="274">
        <v>484</v>
      </c>
      <c r="D157" s="274">
        <v>-443</v>
      </c>
      <c r="E157" s="274">
        <v>-442</v>
      </c>
    </row>
    <row r="158" spans="1:5" ht="12.75">
      <c r="A158" s="279" t="s">
        <v>390</v>
      </c>
      <c r="B158" s="275">
        <v>36200</v>
      </c>
      <c r="C158" s="275">
        <v>57000</v>
      </c>
      <c r="D158" s="275">
        <v>-24200</v>
      </c>
      <c r="E158" s="275">
        <v>-22900</v>
      </c>
    </row>
    <row r="159" spans="1:5" ht="12.75">
      <c r="A159" s="281" t="s">
        <v>555</v>
      </c>
      <c r="B159" s="282">
        <f>SUM(B142:B158)</f>
        <v>154959.70575999998</v>
      </c>
      <c r="C159" s="282">
        <f>SUM(C142:C158)</f>
        <v>198352.93602</v>
      </c>
      <c r="D159" s="282">
        <f>SUM(D142:D158)</f>
        <v>-55683.24824</v>
      </c>
      <c r="E159" s="282">
        <f>SUM(E142:E158)</f>
        <v>-52788.7475</v>
      </c>
    </row>
    <row r="160" spans="1:5" ht="12.75">
      <c r="A160" s="55" t="s">
        <v>1045</v>
      </c>
      <c r="B160" s="58">
        <v>155000</v>
      </c>
      <c r="C160" s="58">
        <v>198000</v>
      </c>
      <c r="D160" s="58">
        <v>-55700</v>
      </c>
      <c r="E160" s="58">
        <v>-52900</v>
      </c>
    </row>
    <row r="161" ht="12.75">
      <c r="A161" s="285" t="s">
        <v>395</v>
      </c>
    </row>
    <row r="162" spans="1:5" ht="38.25">
      <c r="A162" s="276" t="s">
        <v>393</v>
      </c>
      <c r="B162" s="279" t="s">
        <v>258</v>
      </c>
      <c r="C162" s="279" t="s">
        <v>259</v>
      </c>
      <c r="D162" s="279" t="s">
        <v>260</v>
      </c>
      <c r="E162" s="279" t="s">
        <v>261</v>
      </c>
    </row>
    <row r="163" spans="1:5" ht="12.75">
      <c r="A163" s="268" t="s">
        <v>1034</v>
      </c>
      <c r="B163" s="269">
        <v>8230</v>
      </c>
      <c r="C163" s="269">
        <v>11700</v>
      </c>
      <c r="D163" s="269">
        <v>8710</v>
      </c>
      <c r="E163" s="269">
        <v>8740</v>
      </c>
    </row>
    <row r="164" spans="1:5" ht="12.75">
      <c r="A164" s="268" t="s">
        <v>1035</v>
      </c>
      <c r="B164" s="277">
        <v>51.1</v>
      </c>
      <c r="C164" s="277">
        <v>67</v>
      </c>
      <c r="D164" s="277">
        <v>-0.247</v>
      </c>
      <c r="E164" s="277">
        <v>1.66</v>
      </c>
    </row>
    <row r="165" spans="1:5" ht="12.75">
      <c r="A165" s="268" t="s">
        <v>1036</v>
      </c>
      <c r="B165" s="269">
        <v>49000</v>
      </c>
      <c r="C165" s="269">
        <v>78600</v>
      </c>
      <c r="D165" s="269">
        <v>-53200</v>
      </c>
      <c r="E165" s="269">
        <v>-52200</v>
      </c>
    </row>
    <row r="166" spans="1:5" ht="12.75">
      <c r="A166" s="268" t="s">
        <v>1037</v>
      </c>
      <c r="B166" s="269">
        <v>19200</v>
      </c>
      <c r="C166" s="269">
        <v>21300</v>
      </c>
      <c r="D166" s="269">
        <v>-6100</v>
      </c>
      <c r="E166" s="269">
        <v>-5830</v>
      </c>
    </row>
    <row r="167" spans="1:5" ht="12.75">
      <c r="A167" s="268" t="s">
        <v>1038</v>
      </c>
      <c r="B167" s="277">
        <v>266</v>
      </c>
      <c r="C167" s="277">
        <v>354</v>
      </c>
      <c r="D167" s="277">
        <v>141</v>
      </c>
      <c r="E167" s="277">
        <v>142</v>
      </c>
    </row>
    <row r="168" spans="1:5" ht="12.75">
      <c r="A168" s="268" t="s">
        <v>1039</v>
      </c>
      <c r="B168" s="277">
        <v>4.34</v>
      </c>
      <c r="C168" s="277">
        <v>5.58</v>
      </c>
      <c r="D168" s="277">
        <v>0.88</v>
      </c>
      <c r="E168" s="277">
        <v>11.14</v>
      </c>
    </row>
    <row r="169" spans="1:5" ht="12.75">
      <c r="A169" s="268" t="s">
        <v>1040</v>
      </c>
      <c r="B169" s="269">
        <v>5220</v>
      </c>
      <c r="C169" s="269">
        <v>8090</v>
      </c>
      <c r="D169" s="269">
        <v>4060</v>
      </c>
      <c r="E169" s="269">
        <v>4110</v>
      </c>
    </row>
    <row r="170" spans="1:5" ht="25.5">
      <c r="A170" s="268" t="s">
        <v>1041</v>
      </c>
      <c r="B170" s="269">
        <v>1930</v>
      </c>
      <c r="C170" s="269">
        <v>2380</v>
      </c>
      <c r="D170" s="269">
        <v>-342</v>
      </c>
      <c r="E170" s="269">
        <v>-269</v>
      </c>
    </row>
    <row r="171" spans="1:5" ht="12.75">
      <c r="A171" s="268" t="s">
        <v>1042</v>
      </c>
      <c r="B171" s="269">
        <v>2740</v>
      </c>
      <c r="C171" s="269">
        <v>3880</v>
      </c>
      <c r="D171" s="269">
        <v>-138</v>
      </c>
      <c r="E171" s="269">
        <v>-105</v>
      </c>
    </row>
    <row r="172" spans="1:5" ht="12.75">
      <c r="A172" s="268" t="s">
        <v>1043</v>
      </c>
      <c r="B172" s="270">
        <v>8080</v>
      </c>
      <c r="C172" s="270">
        <v>12700</v>
      </c>
      <c r="D172" s="270">
        <v>-4970</v>
      </c>
      <c r="E172" s="270">
        <v>-4960</v>
      </c>
    </row>
    <row r="173" spans="1:5" ht="12.75">
      <c r="A173" s="268" t="s">
        <v>1044</v>
      </c>
      <c r="B173" s="269">
        <v>29400</v>
      </c>
      <c r="C173" s="269">
        <v>40600</v>
      </c>
      <c r="D173" s="269">
        <v>3420</v>
      </c>
      <c r="E173" s="269">
        <v>4940</v>
      </c>
    </row>
    <row r="174" spans="1:5" ht="12.75">
      <c r="A174" s="271" t="s">
        <v>555</v>
      </c>
      <c r="B174" s="272">
        <f>SUM(B163:B173)</f>
        <v>124121.44</v>
      </c>
      <c r="C174" s="272">
        <f>SUM(C163:C173)</f>
        <v>179676.58000000002</v>
      </c>
      <c r="D174" s="272">
        <f>SUM(D163:D173)</f>
        <v>-48418.367000000006</v>
      </c>
      <c r="E174" s="272">
        <f>SUM(E163:E173)</f>
        <v>-45419.2</v>
      </c>
    </row>
    <row r="175" spans="1:5" ht="12.75">
      <c r="A175" s="273" t="s">
        <v>1045</v>
      </c>
      <c r="B175" s="280">
        <v>124000</v>
      </c>
      <c r="C175" s="280">
        <v>180000</v>
      </c>
      <c r="D175" s="280">
        <v>-48400</v>
      </c>
      <c r="E175" s="280">
        <v>-45400</v>
      </c>
    </row>
    <row r="176" spans="1:6" ht="12.75">
      <c r="A176" s="323" t="s">
        <v>396</v>
      </c>
      <c r="B176" s="324"/>
      <c r="C176" s="324"/>
      <c r="D176" s="324"/>
      <c r="E176" s="324"/>
      <c r="F176" s="324"/>
    </row>
    <row r="177" spans="1:5" ht="38.25">
      <c r="A177" s="284"/>
      <c r="B177" s="279" t="s">
        <v>258</v>
      </c>
      <c r="C177" s="279" t="s">
        <v>259</v>
      </c>
      <c r="D177" s="279" t="s">
        <v>260</v>
      </c>
      <c r="E177" s="279" t="s">
        <v>261</v>
      </c>
    </row>
    <row r="178" spans="1:5" ht="25.5">
      <c r="A178" s="279" t="s">
        <v>264</v>
      </c>
      <c r="B178" s="280">
        <v>57000</v>
      </c>
      <c r="C178" s="280">
        <v>63400</v>
      </c>
      <c r="D178" s="280">
        <v>6700</v>
      </c>
      <c r="E178" s="280">
        <v>7470</v>
      </c>
    </row>
    <row r="179" spans="1:5" ht="12.75">
      <c r="A179" s="279" t="s">
        <v>265</v>
      </c>
      <c r="B179" s="280">
        <v>4.7</v>
      </c>
      <c r="C179" s="280">
        <v>6.09</v>
      </c>
      <c r="D179" s="280">
        <v>0.903</v>
      </c>
      <c r="E179" s="280">
        <v>1.19</v>
      </c>
    </row>
    <row r="180" spans="1:5" ht="12.75">
      <c r="A180" s="279" t="s">
        <v>266</v>
      </c>
      <c r="B180" s="275">
        <v>4840</v>
      </c>
      <c r="C180" s="275">
        <v>6600</v>
      </c>
      <c r="D180" s="275">
        <v>608</v>
      </c>
      <c r="E180" s="275">
        <v>625</v>
      </c>
    </row>
    <row r="181" spans="1:5" ht="12.75">
      <c r="A181" s="279" t="s">
        <v>267</v>
      </c>
      <c r="B181" s="274">
        <v>4.2</v>
      </c>
      <c r="C181" s="274">
        <v>5.29</v>
      </c>
      <c r="D181" s="275">
        <v>0.895</v>
      </c>
      <c r="E181" s="274">
        <v>1.07</v>
      </c>
    </row>
    <row r="182" spans="1:5" ht="12.75">
      <c r="A182" s="279" t="s">
        <v>268</v>
      </c>
      <c r="B182" s="275">
        <v>13300</v>
      </c>
      <c r="C182" s="275">
        <v>21100</v>
      </c>
      <c r="D182" s="275">
        <v>3610</v>
      </c>
      <c r="E182" s="275">
        <v>3850</v>
      </c>
    </row>
    <row r="183" spans="1:5" ht="12.75">
      <c r="A183" s="279" t="s">
        <v>269</v>
      </c>
      <c r="B183" s="274">
        <v>90.5</v>
      </c>
      <c r="C183" s="274">
        <v>120</v>
      </c>
      <c r="D183" s="274">
        <v>40.7</v>
      </c>
      <c r="E183" s="274">
        <v>41</v>
      </c>
    </row>
    <row r="184" spans="1:5" ht="25.5">
      <c r="A184" s="279" t="s">
        <v>270</v>
      </c>
      <c r="B184" s="275">
        <v>37300</v>
      </c>
      <c r="C184" s="275">
        <v>41400</v>
      </c>
      <c r="D184" s="275">
        <v>4380</v>
      </c>
      <c r="E184" s="275">
        <v>4890</v>
      </c>
    </row>
    <row r="185" spans="1:5" ht="12.75">
      <c r="A185" s="279" t="s">
        <v>271</v>
      </c>
      <c r="B185" s="274">
        <v>70.1</v>
      </c>
      <c r="C185" s="274">
        <v>95.9</v>
      </c>
      <c r="D185" s="274">
        <v>17.3</v>
      </c>
      <c r="E185" s="274">
        <v>18.2</v>
      </c>
    </row>
    <row r="186" spans="1:5" ht="25.5">
      <c r="A186" s="279" t="s">
        <v>272</v>
      </c>
      <c r="B186" s="274">
        <v>21.4</v>
      </c>
      <c r="C186" s="274">
        <v>30.3</v>
      </c>
      <c r="D186" s="274">
        <v>2.13</v>
      </c>
      <c r="E186" s="274">
        <v>2.17</v>
      </c>
    </row>
    <row r="187" spans="1:5" ht="12.75">
      <c r="A187" s="279" t="s">
        <v>273</v>
      </c>
      <c r="B187" s="274">
        <v>41.8</v>
      </c>
      <c r="C187" s="274">
        <v>62</v>
      </c>
      <c r="D187" s="283">
        <v>29.6</v>
      </c>
      <c r="E187" s="274">
        <v>31.1</v>
      </c>
    </row>
    <row r="188" spans="1:5" ht="12.75">
      <c r="A188" s="279" t="s">
        <v>274</v>
      </c>
      <c r="B188" s="274" t="s">
        <v>391</v>
      </c>
      <c r="C188" s="274">
        <v>0.348</v>
      </c>
      <c r="D188" s="274">
        <v>0.0466</v>
      </c>
      <c r="E188" s="274">
        <v>0.0553</v>
      </c>
    </row>
    <row r="189" spans="1:5" ht="12.75">
      <c r="A189" s="279" t="s">
        <v>275</v>
      </c>
      <c r="B189" s="274">
        <v>0.00576</v>
      </c>
      <c r="C189" s="274">
        <v>0.00802</v>
      </c>
      <c r="D189" s="274">
        <v>0.000689</v>
      </c>
      <c r="E189" s="274">
        <v>0.000725</v>
      </c>
    </row>
    <row r="190" spans="1:5" ht="12.75">
      <c r="A190" s="279" t="s">
        <v>276</v>
      </c>
      <c r="B190" s="275">
        <v>4580</v>
      </c>
      <c r="C190" s="275">
        <v>5970</v>
      </c>
      <c r="D190" s="274">
        <v>489</v>
      </c>
      <c r="E190" s="274">
        <v>492</v>
      </c>
    </row>
    <row r="191" spans="1:5" ht="12.75">
      <c r="A191" s="279" t="s">
        <v>277</v>
      </c>
      <c r="B191" s="274">
        <v>895</v>
      </c>
      <c r="C191" s="275">
        <v>1390</v>
      </c>
      <c r="D191" s="274">
        <v>120</v>
      </c>
      <c r="E191" s="274">
        <v>134</v>
      </c>
    </row>
    <row r="192" spans="1:5" ht="12.75">
      <c r="A192" s="279" t="s">
        <v>278</v>
      </c>
      <c r="B192" s="274">
        <v>361</v>
      </c>
      <c r="C192" s="274">
        <v>689</v>
      </c>
      <c r="D192" s="274">
        <v>151</v>
      </c>
      <c r="E192" s="274">
        <v>191</v>
      </c>
    </row>
    <row r="193" spans="1:5" ht="12.75">
      <c r="A193" s="279" t="s">
        <v>389</v>
      </c>
      <c r="B193" s="274">
        <v>251</v>
      </c>
      <c r="C193" s="274">
        <v>484</v>
      </c>
      <c r="D193" s="274">
        <v>52.6</v>
      </c>
      <c r="E193" s="274">
        <v>53.6</v>
      </c>
    </row>
    <row r="194" spans="1:5" ht="12.75">
      <c r="A194" s="279" t="s">
        <v>390</v>
      </c>
      <c r="B194" s="275">
        <v>36200</v>
      </c>
      <c r="C194" s="275">
        <v>57000</v>
      </c>
      <c r="D194" s="275">
        <v>7260</v>
      </c>
      <c r="E194" s="275">
        <v>8520</v>
      </c>
    </row>
    <row r="195" spans="1:5" ht="12.75">
      <c r="A195" s="281" t="s">
        <v>555</v>
      </c>
      <c r="B195" s="282">
        <f>SUM(B178:B194)</f>
        <v>154959.70575999998</v>
      </c>
      <c r="C195" s="282">
        <f>SUM(C178:C194)</f>
        <v>198352.93602</v>
      </c>
      <c r="D195" s="282">
        <f>SUM(D178:D194)</f>
        <v>23462.175289</v>
      </c>
      <c r="E195" s="282">
        <f>SUM(E178:E194)</f>
        <v>26320.386024999996</v>
      </c>
    </row>
    <row r="196" spans="1:5" ht="12.75">
      <c r="A196" s="279" t="s">
        <v>1045</v>
      </c>
      <c r="B196" s="280">
        <v>155000</v>
      </c>
      <c r="C196" s="280">
        <v>198000</v>
      </c>
      <c r="D196" s="280">
        <v>23500</v>
      </c>
      <c r="E196" s="280">
        <v>26300</v>
      </c>
    </row>
    <row r="197" ht="12.75">
      <c r="A197" s="285" t="s">
        <v>294</v>
      </c>
    </row>
    <row r="198" spans="1:5" ht="38.25">
      <c r="A198" s="276"/>
      <c r="B198" s="279" t="s">
        <v>258</v>
      </c>
      <c r="C198" s="279" t="s">
        <v>259</v>
      </c>
      <c r="D198" s="279" t="s">
        <v>260</v>
      </c>
      <c r="E198" s="279" t="s">
        <v>261</v>
      </c>
    </row>
    <row r="199" spans="1:5" ht="12.75">
      <c r="A199" s="268" t="s">
        <v>1034</v>
      </c>
      <c r="B199" s="269">
        <v>8230</v>
      </c>
      <c r="C199" s="269">
        <v>11700</v>
      </c>
      <c r="D199" s="269">
        <v>994</v>
      </c>
      <c r="E199" s="269">
        <v>1020</v>
      </c>
    </row>
    <row r="200" spans="1:5" ht="12.75">
      <c r="A200" s="268" t="s">
        <v>1035</v>
      </c>
      <c r="B200" s="277">
        <v>51.1</v>
      </c>
      <c r="C200" s="277">
        <v>67</v>
      </c>
      <c r="D200" s="277">
        <v>8.13</v>
      </c>
      <c r="E200" s="277">
        <v>10</v>
      </c>
    </row>
    <row r="201" spans="1:5" ht="12.75">
      <c r="A201" s="268" t="s">
        <v>1036</v>
      </c>
      <c r="B201" s="269">
        <v>49000</v>
      </c>
      <c r="C201" s="269">
        <v>78600</v>
      </c>
      <c r="D201" s="269">
        <v>13600</v>
      </c>
      <c r="E201" s="269">
        <v>14600</v>
      </c>
    </row>
    <row r="202" spans="1:5" ht="12.75">
      <c r="A202" s="268" t="s">
        <v>1037</v>
      </c>
      <c r="B202" s="269">
        <v>19200</v>
      </c>
      <c r="C202" s="269">
        <v>21300</v>
      </c>
      <c r="D202" s="269">
        <v>2300</v>
      </c>
      <c r="E202" s="269">
        <v>2570</v>
      </c>
    </row>
    <row r="203" spans="1:5" ht="12.75">
      <c r="A203" s="268" t="s">
        <v>1038</v>
      </c>
      <c r="B203" s="277">
        <v>266</v>
      </c>
      <c r="C203" s="277">
        <v>354</v>
      </c>
      <c r="D203" s="277">
        <v>120</v>
      </c>
      <c r="E203" s="277">
        <v>120</v>
      </c>
    </row>
    <row r="204" spans="1:5" ht="12.75">
      <c r="A204" s="268" t="s">
        <v>1039</v>
      </c>
      <c r="B204" s="277">
        <v>4.34</v>
      </c>
      <c r="C204" s="277">
        <v>5.58</v>
      </c>
      <c r="D204" s="277">
        <v>0.868</v>
      </c>
      <c r="E204" s="277">
        <v>1.13</v>
      </c>
    </row>
    <row r="205" spans="1:5" ht="12.75">
      <c r="A205" s="268" t="s">
        <v>1040</v>
      </c>
      <c r="B205" s="269">
        <v>5220</v>
      </c>
      <c r="C205" s="269">
        <v>8090</v>
      </c>
      <c r="D205" s="269">
        <v>779</v>
      </c>
      <c r="E205" s="269">
        <v>828</v>
      </c>
    </row>
    <row r="206" spans="1:5" ht="25.5">
      <c r="A206" s="268" t="s">
        <v>1041</v>
      </c>
      <c r="B206" s="269">
        <v>1930</v>
      </c>
      <c r="C206" s="269">
        <v>2380</v>
      </c>
      <c r="D206" s="269">
        <v>421</v>
      </c>
      <c r="E206" s="269">
        <v>494</v>
      </c>
    </row>
    <row r="207" spans="1:5" ht="12.75">
      <c r="A207" s="268" t="s">
        <v>1042</v>
      </c>
      <c r="B207" s="269">
        <v>2740</v>
      </c>
      <c r="C207" s="269">
        <v>3880</v>
      </c>
      <c r="D207" s="269">
        <v>355</v>
      </c>
      <c r="E207" s="269">
        <v>388</v>
      </c>
    </row>
    <row r="208" spans="1:5" ht="12.75">
      <c r="A208" s="268" t="s">
        <v>1043</v>
      </c>
      <c r="B208" s="270">
        <v>8080</v>
      </c>
      <c r="C208" s="270">
        <v>12700</v>
      </c>
      <c r="D208" s="270">
        <v>853</v>
      </c>
      <c r="E208" s="270">
        <v>869</v>
      </c>
    </row>
    <row r="209" spans="1:5" ht="12.75">
      <c r="A209" s="268" t="s">
        <v>1044</v>
      </c>
      <c r="B209" s="269">
        <v>29400</v>
      </c>
      <c r="C209" s="269">
        <v>40600</v>
      </c>
      <c r="D209" s="269">
        <v>5540</v>
      </c>
      <c r="E209" s="269">
        <v>7070</v>
      </c>
    </row>
    <row r="210" spans="1:5" ht="12.75">
      <c r="A210" s="271" t="s">
        <v>555</v>
      </c>
      <c r="B210" s="272">
        <f>SUM(B199:B209)</f>
        <v>124121.44</v>
      </c>
      <c r="C210" s="272">
        <f>SUM(C199:C209)</f>
        <v>179676.58000000002</v>
      </c>
      <c r="D210" s="272">
        <f>SUM(D199:D209)</f>
        <v>24970.997999999996</v>
      </c>
      <c r="E210" s="272">
        <f>SUM(E199:E209)</f>
        <v>27970.13</v>
      </c>
    </row>
    <row r="211" spans="1:5" ht="12.75">
      <c r="A211" s="273" t="s">
        <v>1045</v>
      </c>
      <c r="B211" s="280">
        <v>124000</v>
      </c>
      <c r="C211" s="280">
        <v>180000</v>
      </c>
      <c r="D211" s="280">
        <v>25000</v>
      </c>
      <c r="E211" s="280">
        <v>28000</v>
      </c>
    </row>
    <row r="212" spans="1:6" ht="27.75" customHeight="1">
      <c r="A212" s="321" t="s">
        <v>314</v>
      </c>
      <c r="B212" s="322"/>
      <c r="C212" s="322"/>
      <c r="D212" s="322"/>
      <c r="E212" s="322"/>
      <c r="F212" s="322"/>
    </row>
    <row r="213" spans="1:9" ht="38.25">
      <c r="A213" s="268" t="s">
        <v>295</v>
      </c>
      <c r="B213" s="286" t="s">
        <v>306</v>
      </c>
      <c r="C213" s="286" t="s">
        <v>307</v>
      </c>
      <c r="D213" s="286" t="s">
        <v>308</v>
      </c>
      <c r="E213" s="286" t="s">
        <v>309</v>
      </c>
      <c r="F213" s="286" t="s">
        <v>310</v>
      </c>
      <c r="G213" s="286" t="s">
        <v>311</v>
      </c>
      <c r="H213" s="286" t="s">
        <v>312</v>
      </c>
      <c r="I213" s="286" t="s">
        <v>313</v>
      </c>
    </row>
    <row r="214" spans="1:9" ht="12.75">
      <c r="A214" s="268" t="s">
        <v>1026</v>
      </c>
      <c r="B214" s="269">
        <v>0</v>
      </c>
      <c r="C214" s="269">
        <v>0</v>
      </c>
      <c r="D214" s="269">
        <v>0</v>
      </c>
      <c r="E214" s="269">
        <v>0</v>
      </c>
      <c r="F214" s="269">
        <v>0</v>
      </c>
      <c r="G214" s="269">
        <v>0</v>
      </c>
      <c r="H214" s="269">
        <v>0</v>
      </c>
      <c r="I214" s="269">
        <v>0</v>
      </c>
    </row>
    <row r="215" spans="1:9" ht="12.75">
      <c r="A215" s="268" t="s">
        <v>296</v>
      </c>
      <c r="B215" s="269">
        <v>0</v>
      </c>
      <c r="C215" s="269">
        <v>0</v>
      </c>
      <c r="D215" s="269">
        <v>24100</v>
      </c>
      <c r="E215" s="269">
        <v>25300</v>
      </c>
      <c r="F215" s="269">
        <v>1000</v>
      </c>
      <c r="G215" s="269">
        <v>1050</v>
      </c>
      <c r="H215" s="269">
        <v>1000</v>
      </c>
      <c r="I215" s="269">
        <v>1050</v>
      </c>
    </row>
    <row r="216" spans="1:9" ht="12.75">
      <c r="A216" s="268" t="s">
        <v>297</v>
      </c>
      <c r="B216" s="269">
        <v>0</v>
      </c>
      <c r="C216" s="269">
        <v>0</v>
      </c>
      <c r="D216" s="269">
        <v>22100</v>
      </c>
      <c r="E216" s="269">
        <v>25300</v>
      </c>
      <c r="F216" s="269">
        <v>923</v>
      </c>
      <c r="G216" s="269">
        <v>1050</v>
      </c>
      <c r="H216" s="269">
        <v>923</v>
      </c>
      <c r="I216" s="269">
        <v>1050</v>
      </c>
    </row>
    <row r="217" spans="1:9" ht="12.75">
      <c r="A217" s="287" t="s">
        <v>298</v>
      </c>
      <c r="B217" s="268">
        <v>440</v>
      </c>
      <c r="C217" s="268">
        <v>406</v>
      </c>
      <c r="D217" s="268">
        <v>87.2</v>
      </c>
      <c r="E217" s="268">
        <v>80.6</v>
      </c>
      <c r="F217" s="269">
        <v>1503</v>
      </c>
      <c r="G217" s="269">
        <v>1389</v>
      </c>
      <c r="H217" s="269">
        <v>5820</v>
      </c>
      <c r="I217" s="269">
        <v>5366</v>
      </c>
    </row>
    <row r="218" spans="1:9" ht="12.75">
      <c r="A218" s="268" t="s">
        <v>299</v>
      </c>
      <c r="B218" s="268">
        <v>0</v>
      </c>
      <c r="C218" s="268">
        <v>0</v>
      </c>
      <c r="D218" s="268">
        <v>0</v>
      </c>
      <c r="E218" s="268">
        <v>0</v>
      </c>
      <c r="F218" s="269">
        <v>4070</v>
      </c>
      <c r="G218" s="269">
        <v>2855</v>
      </c>
      <c r="H218" s="269">
        <v>3095</v>
      </c>
      <c r="I218" s="269">
        <v>2179</v>
      </c>
    </row>
    <row r="219" spans="1:9" ht="12.75">
      <c r="A219" s="268" t="s">
        <v>300</v>
      </c>
      <c r="B219" s="269">
        <v>0</v>
      </c>
      <c r="C219" s="269">
        <v>0</v>
      </c>
      <c r="D219" s="269">
        <v>3234</v>
      </c>
      <c r="E219" s="269">
        <v>3707</v>
      </c>
      <c r="F219" s="269">
        <v>3234</v>
      </c>
      <c r="G219" s="269">
        <v>3707</v>
      </c>
      <c r="H219" s="269">
        <v>3234</v>
      </c>
      <c r="I219" s="269">
        <v>3707</v>
      </c>
    </row>
    <row r="220" spans="1:9" ht="12.75">
      <c r="A220" s="268" t="s">
        <v>301</v>
      </c>
      <c r="B220" s="268">
        <v>0</v>
      </c>
      <c r="C220" s="268">
        <v>0</v>
      </c>
      <c r="D220" s="268">
        <v>0</v>
      </c>
      <c r="E220" s="268">
        <v>0</v>
      </c>
      <c r="F220" s="269">
        <v>4550</v>
      </c>
      <c r="G220" s="269">
        <v>4500</v>
      </c>
      <c r="H220" s="269">
        <v>4550</v>
      </c>
      <c r="I220" s="269">
        <v>4500</v>
      </c>
    </row>
    <row r="221" spans="1:9" ht="12.75">
      <c r="A221" s="268" t="s">
        <v>302</v>
      </c>
      <c r="B221" s="268">
        <v>0</v>
      </c>
      <c r="C221" s="268">
        <v>0</v>
      </c>
      <c r="D221" s="268">
        <v>0</v>
      </c>
      <c r="E221" s="268">
        <v>0</v>
      </c>
      <c r="F221" s="269">
        <v>4122</v>
      </c>
      <c r="G221" s="269">
        <v>2607</v>
      </c>
      <c r="H221" s="269">
        <v>3757</v>
      </c>
      <c r="I221" s="269">
        <v>2167</v>
      </c>
    </row>
    <row r="222" spans="1:9" ht="25.5">
      <c r="A222" s="268" t="s">
        <v>303</v>
      </c>
      <c r="B222" s="268">
        <v>0</v>
      </c>
      <c r="C222" s="268">
        <v>0</v>
      </c>
      <c r="D222" s="268">
        <v>0</v>
      </c>
      <c r="E222" s="268">
        <v>0</v>
      </c>
      <c r="F222" s="269">
        <v>-73600</v>
      </c>
      <c r="G222" s="269">
        <v>-79600</v>
      </c>
      <c r="H222" s="269">
        <v>-73600</v>
      </c>
      <c r="I222" s="269">
        <v>-79600</v>
      </c>
    </row>
    <row r="223" spans="1:9" ht="12.75">
      <c r="A223" s="268" t="s">
        <v>107</v>
      </c>
      <c r="B223" s="269">
        <v>101000</v>
      </c>
      <c r="C223" s="269">
        <v>108000</v>
      </c>
      <c r="D223" s="269">
        <v>125500</v>
      </c>
      <c r="E223" s="269">
        <v>136100</v>
      </c>
      <c r="F223" s="269">
        <v>5252</v>
      </c>
      <c r="G223" s="269">
        <v>5648</v>
      </c>
      <c r="H223" s="269">
        <v>5252</v>
      </c>
      <c r="I223" s="269">
        <v>5648</v>
      </c>
    </row>
    <row r="224" spans="1:9" ht="12.75">
      <c r="A224" s="268" t="s">
        <v>304</v>
      </c>
      <c r="B224" s="269">
        <v>2770</v>
      </c>
      <c r="C224" s="269">
        <v>5530</v>
      </c>
      <c r="D224" s="269">
        <v>4264</v>
      </c>
      <c r="E224" s="269">
        <v>8690</v>
      </c>
      <c r="F224" s="269">
        <v>320.7</v>
      </c>
      <c r="G224" s="269">
        <v>640.3</v>
      </c>
      <c r="H224" s="269">
        <v>320.7</v>
      </c>
      <c r="I224" s="269">
        <v>640.3</v>
      </c>
    </row>
    <row r="225" spans="1:9" ht="12.75">
      <c r="A225" s="268" t="s">
        <v>305</v>
      </c>
      <c r="B225" s="269">
        <v>20300</v>
      </c>
      <c r="C225" s="269">
        <v>40600</v>
      </c>
      <c r="D225" s="269">
        <v>0</v>
      </c>
      <c r="E225" s="269">
        <v>0</v>
      </c>
      <c r="F225" s="269">
        <v>0</v>
      </c>
      <c r="G225" s="269">
        <v>0</v>
      </c>
      <c r="H225" s="269">
        <v>0</v>
      </c>
      <c r="I225" s="269">
        <v>0</v>
      </c>
    </row>
    <row r="226" spans="1:9" ht="12.75">
      <c r="A226" s="288" t="s">
        <v>555</v>
      </c>
      <c r="B226" s="272">
        <f aca="true" t="shared" si="3" ref="B226:I226">SUM(B214:B225)</f>
        <v>124510</v>
      </c>
      <c r="C226" s="272">
        <f t="shared" si="3"/>
        <v>154536</v>
      </c>
      <c r="D226" s="272">
        <f t="shared" si="3"/>
        <v>179285.2</v>
      </c>
      <c r="E226" s="272">
        <f t="shared" si="3"/>
        <v>199177.6</v>
      </c>
      <c r="F226" s="272">
        <f t="shared" si="3"/>
        <v>-48625.3</v>
      </c>
      <c r="G226" s="272">
        <f t="shared" si="3"/>
        <v>-56153.7</v>
      </c>
      <c r="H226" s="272">
        <f t="shared" si="3"/>
        <v>-45648.3</v>
      </c>
      <c r="I226" s="272">
        <f t="shared" si="3"/>
        <v>-53292.7</v>
      </c>
    </row>
    <row r="227" spans="1:9" ht="12.75">
      <c r="A227" s="268" t="s">
        <v>1045</v>
      </c>
      <c r="B227" s="269">
        <v>104000</v>
      </c>
      <c r="C227" s="269">
        <v>155000</v>
      </c>
      <c r="D227" s="269">
        <v>180000</v>
      </c>
      <c r="E227" s="269">
        <v>198000</v>
      </c>
      <c r="F227" s="289">
        <v>-48400</v>
      </c>
      <c r="G227" s="289">
        <v>-55700</v>
      </c>
      <c r="H227" s="289">
        <v>-45400</v>
      </c>
      <c r="I227" s="289">
        <v>-52900</v>
      </c>
    </row>
    <row r="228" spans="1:6" ht="31.5" customHeight="1">
      <c r="A228" s="321" t="s">
        <v>315</v>
      </c>
      <c r="B228" s="322"/>
      <c r="C228" s="322"/>
      <c r="D228" s="322"/>
      <c r="E228" s="322"/>
      <c r="F228" s="322"/>
    </row>
    <row r="229" spans="1:9" ht="38.25">
      <c r="A229" s="268" t="s">
        <v>295</v>
      </c>
      <c r="B229" s="286" t="s">
        <v>306</v>
      </c>
      <c r="C229" s="286" t="s">
        <v>307</v>
      </c>
      <c r="D229" s="286" t="s">
        <v>308</v>
      </c>
      <c r="E229" s="286" t="s">
        <v>309</v>
      </c>
      <c r="F229" s="286" t="s">
        <v>310</v>
      </c>
      <c r="G229" s="286" t="s">
        <v>311</v>
      </c>
      <c r="H229" s="286" t="s">
        <v>312</v>
      </c>
      <c r="I229" s="286" t="s">
        <v>313</v>
      </c>
    </row>
    <row r="230" spans="1:9" ht="12.75">
      <c r="A230" s="268" t="s">
        <v>1026</v>
      </c>
      <c r="B230" s="269">
        <v>0</v>
      </c>
      <c r="C230" s="269">
        <v>0</v>
      </c>
      <c r="D230" s="269">
        <v>0</v>
      </c>
      <c r="E230" s="269">
        <v>0</v>
      </c>
      <c r="F230" s="269">
        <v>0</v>
      </c>
      <c r="G230" s="269">
        <v>0</v>
      </c>
      <c r="H230" s="269">
        <v>0</v>
      </c>
      <c r="I230" s="269">
        <v>0</v>
      </c>
    </row>
    <row r="231" spans="1:9" ht="12.75">
      <c r="A231" s="268" t="s">
        <v>296</v>
      </c>
      <c r="B231" s="269">
        <v>0</v>
      </c>
      <c r="C231" s="269">
        <v>0</v>
      </c>
      <c r="D231" s="269">
        <v>24100</v>
      </c>
      <c r="E231" s="269">
        <v>25300</v>
      </c>
      <c r="F231" s="269">
        <v>1000</v>
      </c>
      <c r="G231" s="269">
        <v>1050</v>
      </c>
      <c r="H231" s="269">
        <v>1000</v>
      </c>
      <c r="I231" s="269">
        <v>1050</v>
      </c>
    </row>
    <row r="232" spans="1:9" ht="12.75">
      <c r="A232" s="268" t="s">
        <v>297</v>
      </c>
      <c r="B232" s="269">
        <v>0</v>
      </c>
      <c r="C232" s="269">
        <v>0</v>
      </c>
      <c r="D232" s="269">
        <v>22100</v>
      </c>
      <c r="E232" s="269">
        <v>25300</v>
      </c>
      <c r="F232" s="269">
        <v>923</v>
      </c>
      <c r="G232" s="269">
        <v>1050</v>
      </c>
      <c r="H232" s="269">
        <v>923</v>
      </c>
      <c r="I232" s="269">
        <v>1050</v>
      </c>
    </row>
    <row r="233" spans="1:9" ht="12.75">
      <c r="A233" s="287" t="s">
        <v>298</v>
      </c>
      <c r="B233" s="268">
        <v>440</v>
      </c>
      <c r="C233" s="268">
        <v>406</v>
      </c>
      <c r="D233" s="268">
        <v>87.2</v>
      </c>
      <c r="E233" s="268">
        <v>80.6</v>
      </c>
      <c r="F233" s="269">
        <v>1503</v>
      </c>
      <c r="G233" s="269">
        <v>1389</v>
      </c>
      <c r="H233" s="269">
        <v>5820</v>
      </c>
      <c r="I233" s="269">
        <v>5366</v>
      </c>
    </row>
    <row r="234" spans="1:9" ht="12.75">
      <c r="A234" s="268" t="s">
        <v>299</v>
      </c>
      <c r="B234" s="268">
        <v>0</v>
      </c>
      <c r="C234" s="268">
        <v>0</v>
      </c>
      <c r="D234" s="268">
        <v>0</v>
      </c>
      <c r="E234" s="268">
        <v>0</v>
      </c>
      <c r="F234" s="269">
        <v>4070</v>
      </c>
      <c r="G234" s="269">
        <v>2855</v>
      </c>
      <c r="H234" s="269">
        <v>3095</v>
      </c>
      <c r="I234" s="269">
        <v>2179</v>
      </c>
    </row>
    <row r="235" spans="1:9" ht="12.75">
      <c r="A235" s="268" t="s">
        <v>300</v>
      </c>
      <c r="B235" s="269">
        <v>0</v>
      </c>
      <c r="C235" s="269">
        <v>0</v>
      </c>
      <c r="D235" s="269">
        <v>3234</v>
      </c>
      <c r="E235" s="269">
        <v>3707</v>
      </c>
      <c r="F235" s="269">
        <v>3234</v>
      </c>
      <c r="G235" s="269">
        <v>3707</v>
      </c>
      <c r="H235" s="269">
        <v>3234</v>
      </c>
      <c r="I235" s="269">
        <v>3707</v>
      </c>
    </row>
    <row r="236" spans="1:9" ht="12.75">
      <c r="A236" s="268" t="s">
        <v>301</v>
      </c>
      <c r="B236" s="268">
        <v>0</v>
      </c>
      <c r="C236" s="268">
        <v>0</v>
      </c>
      <c r="D236" s="268">
        <v>0</v>
      </c>
      <c r="E236" s="268">
        <v>0</v>
      </c>
      <c r="F236" s="269">
        <v>4550</v>
      </c>
      <c r="G236" s="269">
        <v>4500</v>
      </c>
      <c r="H236" s="269">
        <v>4550</v>
      </c>
      <c r="I236" s="269">
        <v>4500</v>
      </c>
    </row>
    <row r="237" spans="1:9" ht="12.75">
      <c r="A237" s="268" t="s">
        <v>302</v>
      </c>
      <c r="B237" s="268">
        <v>0</v>
      </c>
      <c r="C237" s="268">
        <v>0</v>
      </c>
      <c r="D237" s="268">
        <v>0</v>
      </c>
      <c r="E237" s="268">
        <v>0</v>
      </c>
      <c r="F237" s="269">
        <v>4122</v>
      </c>
      <c r="G237" s="269">
        <v>2607</v>
      </c>
      <c r="H237" s="269">
        <v>3757</v>
      </c>
      <c r="I237" s="269">
        <v>2167</v>
      </c>
    </row>
    <row r="238" spans="1:9" ht="25.5">
      <c r="A238" s="268" t="s">
        <v>303</v>
      </c>
      <c r="B238" s="268">
        <v>0</v>
      </c>
      <c r="C238" s="268">
        <v>0</v>
      </c>
      <c r="D238" s="268">
        <v>0</v>
      </c>
      <c r="E238" s="268">
        <v>0</v>
      </c>
      <c r="F238" s="269">
        <v>0</v>
      </c>
      <c r="G238" s="269">
        <v>0</v>
      </c>
      <c r="H238" s="269">
        <v>0</v>
      </c>
      <c r="I238" s="269">
        <v>0</v>
      </c>
    </row>
    <row r="239" spans="1:9" ht="12.75">
      <c r="A239" s="268" t="s">
        <v>107</v>
      </c>
      <c r="B239" s="269">
        <v>101000</v>
      </c>
      <c r="C239" s="269">
        <v>108000</v>
      </c>
      <c r="D239" s="269">
        <v>125500</v>
      </c>
      <c r="E239" s="269">
        <v>136100</v>
      </c>
      <c r="F239" s="269">
        <v>5252</v>
      </c>
      <c r="G239" s="269">
        <v>5648</v>
      </c>
      <c r="H239" s="269">
        <v>5252</v>
      </c>
      <c r="I239" s="269">
        <v>5648</v>
      </c>
    </row>
    <row r="240" spans="1:9" ht="12.75">
      <c r="A240" s="268" t="s">
        <v>304</v>
      </c>
      <c r="B240" s="269">
        <v>2770</v>
      </c>
      <c r="C240" s="269">
        <v>5530</v>
      </c>
      <c r="D240" s="269">
        <v>4264</v>
      </c>
      <c r="E240" s="269">
        <v>8690</v>
      </c>
      <c r="F240" s="269">
        <v>320.7</v>
      </c>
      <c r="G240" s="269">
        <v>640.3</v>
      </c>
      <c r="H240" s="269">
        <v>320.7</v>
      </c>
      <c r="I240" s="269">
        <v>640.3</v>
      </c>
    </row>
    <row r="241" spans="1:9" ht="12.75">
      <c r="A241" s="268" t="s">
        <v>305</v>
      </c>
      <c r="B241" s="269">
        <v>20300</v>
      </c>
      <c r="C241" s="269">
        <v>40600</v>
      </c>
      <c r="D241" s="269">
        <v>0</v>
      </c>
      <c r="E241" s="269">
        <v>0</v>
      </c>
      <c r="F241" s="269">
        <v>0</v>
      </c>
      <c r="G241" s="269">
        <v>0</v>
      </c>
      <c r="H241" s="269">
        <v>0</v>
      </c>
      <c r="I241" s="269">
        <v>0</v>
      </c>
    </row>
    <row r="242" spans="1:9" ht="12.75">
      <c r="A242" s="288" t="s">
        <v>555</v>
      </c>
      <c r="B242" s="272">
        <f aca="true" t="shared" si="4" ref="B242:I242">SUM(B230:B241)</f>
        <v>124510</v>
      </c>
      <c r="C242" s="272">
        <f t="shared" si="4"/>
        <v>154536</v>
      </c>
      <c r="D242" s="272">
        <f t="shared" si="4"/>
        <v>179285.2</v>
      </c>
      <c r="E242" s="272">
        <f t="shared" si="4"/>
        <v>199177.6</v>
      </c>
      <c r="F242" s="272">
        <f t="shared" si="4"/>
        <v>24974.7</v>
      </c>
      <c r="G242" s="272">
        <f t="shared" si="4"/>
        <v>23446.3</v>
      </c>
      <c r="H242" s="272">
        <f t="shared" si="4"/>
        <v>27951.7</v>
      </c>
      <c r="I242" s="272">
        <f t="shared" si="4"/>
        <v>26307.3</v>
      </c>
    </row>
    <row r="243" spans="1:9" ht="12.75">
      <c r="A243" s="268" t="s">
        <v>1045</v>
      </c>
      <c r="B243" s="269">
        <v>104000</v>
      </c>
      <c r="C243" s="269">
        <v>155000</v>
      </c>
      <c r="D243" s="269">
        <v>180000</v>
      </c>
      <c r="E243" s="269">
        <v>198000</v>
      </c>
      <c r="F243" s="289">
        <v>25000</v>
      </c>
      <c r="G243" s="289">
        <v>23500</v>
      </c>
      <c r="H243" s="289">
        <v>28000</v>
      </c>
      <c r="I243" s="289">
        <v>26300</v>
      </c>
    </row>
  </sheetData>
  <sheetProtection/>
  <mergeCells count="6">
    <mergeCell ref="A212:F212"/>
    <mergeCell ref="A228:F228"/>
    <mergeCell ref="A132:F132"/>
    <mergeCell ref="A136:F136"/>
    <mergeCell ref="A140:F140"/>
    <mergeCell ref="A176:F176"/>
  </mergeCells>
  <printOptions/>
  <pageMargins left="0.75" right="0.75" top="1" bottom="1" header="0.5" footer="0.5"/>
  <pageSetup horizontalDpi="600" verticalDpi="600" orientation="landscape" paperSize="9" scale="79"/>
  <rowBreaks count="3" manualBreakCount="3">
    <brk id="40" max="34" man="1"/>
    <brk id="83" max="34" man="1"/>
    <brk id="149" max="255" man="1"/>
  </rowBreaks>
  <colBreaks count="3" manualBreakCount="3">
    <brk id="11" max="65535" man="1"/>
    <brk id="23" max="65535" man="1"/>
    <brk id="26" max="100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H32" sqref="H32"/>
    </sheetView>
  </sheetViews>
  <sheetFormatPr defaultColWidth="8.8515625" defaultRowHeight="12.75"/>
  <cols>
    <col min="2" max="2" width="18.421875" style="0" customWidth="1"/>
    <col min="3" max="3" width="12.140625" style="0" customWidth="1"/>
    <col min="4" max="4" width="20.140625" style="0" customWidth="1"/>
    <col min="5" max="5" width="12.7109375" style="0" customWidth="1"/>
    <col min="6" max="6" width="20.421875" style="0" customWidth="1"/>
    <col min="7" max="7" width="12.421875" style="0" customWidth="1"/>
    <col min="8" max="8" width="25.28125" style="0" customWidth="1"/>
    <col min="9" max="9" width="12.421875" style="0" customWidth="1"/>
  </cols>
  <sheetData>
    <row r="1" spans="2:8" ht="12.75">
      <c r="B1" s="1" t="s">
        <v>953</v>
      </c>
      <c r="D1" s="1" t="s">
        <v>957</v>
      </c>
      <c r="F1" s="1" t="s">
        <v>960</v>
      </c>
      <c r="H1" s="1" t="s">
        <v>963</v>
      </c>
    </row>
    <row r="2" spans="2:9" ht="12.75">
      <c r="B2" s="1" t="s">
        <v>970</v>
      </c>
      <c r="C2" t="s">
        <v>1409</v>
      </c>
      <c r="D2" s="1" t="s">
        <v>970</v>
      </c>
      <c r="E2" t="s">
        <v>1409</v>
      </c>
      <c r="F2" s="1" t="s">
        <v>970</v>
      </c>
      <c r="G2" t="s">
        <v>1409</v>
      </c>
      <c r="H2" s="1" t="s">
        <v>970</v>
      </c>
      <c r="I2" t="s">
        <v>1409</v>
      </c>
    </row>
    <row r="3" spans="1:9" ht="12.75">
      <c r="A3" t="s">
        <v>950</v>
      </c>
      <c r="B3" t="s">
        <v>951</v>
      </c>
      <c r="C3">
        <v>207</v>
      </c>
      <c r="D3" t="s">
        <v>951</v>
      </c>
      <c r="E3">
        <v>207</v>
      </c>
      <c r="F3" t="s">
        <v>951</v>
      </c>
      <c r="G3">
        <v>207</v>
      </c>
      <c r="H3" t="s">
        <v>951</v>
      </c>
      <c r="I3">
        <v>207</v>
      </c>
    </row>
    <row r="4" spans="1:9" ht="12.75">
      <c r="A4" t="s">
        <v>952</v>
      </c>
      <c r="B4" t="s">
        <v>954</v>
      </c>
      <c r="C4">
        <v>84</v>
      </c>
      <c r="D4" t="s">
        <v>958</v>
      </c>
      <c r="E4">
        <v>157</v>
      </c>
      <c r="F4" t="s">
        <v>961</v>
      </c>
      <c r="G4">
        <v>614</v>
      </c>
      <c r="H4" t="s">
        <v>964</v>
      </c>
      <c r="I4">
        <v>68</v>
      </c>
    </row>
    <row r="5" spans="1:9" ht="12.75">
      <c r="A5" t="s">
        <v>955</v>
      </c>
      <c r="B5" t="s">
        <v>956</v>
      </c>
      <c r="C5">
        <v>3615</v>
      </c>
      <c r="D5" t="s">
        <v>959</v>
      </c>
      <c r="E5">
        <v>1270</v>
      </c>
      <c r="F5" t="s">
        <v>962</v>
      </c>
      <c r="G5">
        <v>5765</v>
      </c>
      <c r="H5" t="s">
        <v>965</v>
      </c>
      <c r="I5">
        <v>3165</v>
      </c>
    </row>
    <row r="6" spans="2:8" ht="12.75">
      <c r="B6" s="1" t="s">
        <v>969</v>
      </c>
      <c r="D6" s="1" t="s">
        <v>969</v>
      </c>
      <c r="F6" s="1" t="s">
        <v>969</v>
      </c>
      <c r="H6" s="1" t="s">
        <v>969</v>
      </c>
    </row>
    <row r="7" spans="1:9" ht="12.75">
      <c r="A7" t="s">
        <v>966</v>
      </c>
      <c r="B7" t="s">
        <v>951</v>
      </c>
      <c r="C7">
        <v>207</v>
      </c>
      <c r="D7" t="s">
        <v>951</v>
      </c>
      <c r="E7">
        <v>207</v>
      </c>
      <c r="F7" t="s">
        <v>951</v>
      </c>
      <c r="G7">
        <v>207</v>
      </c>
      <c r="H7" t="s">
        <v>951</v>
      </c>
      <c r="I7">
        <v>207</v>
      </c>
    </row>
    <row r="8" spans="1:9" ht="12.75">
      <c r="A8" t="s">
        <v>967</v>
      </c>
      <c r="B8" t="s">
        <v>954</v>
      </c>
      <c r="C8">
        <v>84</v>
      </c>
      <c r="D8" t="s">
        <v>958</v>
      </c>
      <c r="E8">
        <v>157</v>
      </c>
      <c r="F8" t="s">
        <v>961</v>
      </c>
      <c r="G8">
        <v>614</v>
      </c>
      <c r="H8" t="s">
        <v>964</v>
      </c>
      <c r="I8">
        <v>68</v>
      </c>
    </row>
    <row r="9" spans="1:9" ht="12.75">
      <c r="A9" t="s">
        <v>968</v>
      </c>
      <c r="B9" t="s">
        <v>956</v>
      </c>
      <c r="C9">
        <v>3615</v>
      </c>
      <c r="D9" t="s">
        <v>959</v>
      </c>
      <c r="E9">
        <v>1270</v>
      </c>
      <c r="F9" t="s">
        <v>962</v>
      </c>
      <c r="G9">
        <v>5765</v>
      </c>
      <c r="H9" t="s">
        <v>965</v>
      </c>
      <c r="I9">
        <v>3165</v>
      </c>
    </row>
    <row r="10" spans="2:8" ht="12.75">
      <c r="B10" s="1" t="s">
        <v>971</v>
      </c>
      <c r="D10" s="1" t="s">
        <v>971</v>
      </c>
      <c r="F10" s="1" t="s">
        <v>971</v>
      </c>
      <c r="H10" s="1" t="s">
        <v>971</v>
      </c>
    </row>
    <row r="11" spans="1:9" ht="12.75">
      <c r="A11" t="s">
        <v>972</v>
      </c>
      <c r="B11" t="s">
        <v>976</v>
      </c>
      <c r="C11">
        <v>84</v>
      </c>
      <c r="D11" t="s">
        <v>977</v>
      </c>
      <c r="E11">
        <v>157</v>
      </c>
      <c r="F11" t="s">
        <v>978</v>
      </c>
      <c r="G11">
        <v>614</v>
      </c>
      <c r="H11" t="s">
        <v>979</v>
      </c>
      <c r="I11">
        <v>68</v>
      </c>
    </row>
    <row r="12" spans="1:9" ht="12.75">
      <c r="A12" t="s">
        <v>973</v>
      </c>
      <c r="B12" t="s">
        <v>1075</v>
      </c>
      <c r="C12">
        <v>3615</v>
      </c>
      <c r="D12" t="s">
        <v>1076</v>
      </c>
      <c r="E12">
        <v>1270</v>
      </c>
      <c r="F12" t="s">
        <v>1078</v>
      </c>
      <c r="G12">
        <v>5765</v>
      </c>
      <c r="H12" t="s">
        <v>1079</v>
      </c>
      <c r="I12">
        <v>3165</v>
      </c>
    </row>
    <row r="13" spans="1:9" ht="12.75">
      <c r="A13" t="s">
        <v>974</v>
      </c>
      <c r="B13" t="s">
        <v>975</v>
      </c>
      <c r="C13">
        <v>199</v>
      </c>
      <c r="D13" t="s">
        <v>975</v>
      </c>
      <c r="E13">
        <v>199</v>
      </c>
      <c r="F13" t="s">
        <v>975</v>
      </c>
      <c r="G13">
        <v>199</v>
      </c>
      <c r="H13" t="s">
        <v>975</v>
      </c>
      <c r="I13">
        <v>199</v>
      </c>
    </row>
    <row r="14" spans="2:8" ht="12.75">
      <c r="B14" s="1" t="s">
        <v>1080</v>
      </c>
      <c r="D14" s="1" t="s">
        <v>1080</v>
      </c>
      <c r="F14" s="1" t="s">
        <v>1080</v>
      </c>
      <c r="H14" s="1" t="s">
        <v>1080</v>
      </c>
    </row>
    <row r="15" spans="1:8" ht="12.75">
      <c r="A15" t="s">
        <v>1081</v>
      </c>
      <c r="B15" t="s">
        <v>1083</v>
      </c>
      <c r="D15" t="s">
        <v>1084</v>
      </c>
      <c r="F15" t="s">
        <v>1082</v>
      </c>
      <c r="H15" t="s">
        <v>1085</v>
      </c>
    </row>
    <row r="16" spans="2:8" ht="12.75">
      <c r="B16" s="1" t="s">
        <v>1086</v>
      </c>
      <c r="D16" s="1" t="s">
        <v>1086</v>
      </c>
      <c r="F16" s="1" t="s">
        <v>1086</v>
      </c>
      <c r="H16" s="1" t="s">
        <v>1086</v>
      </c>
    </row>
    <row r="17" spans="1:9" ht="12.75">
      <c r="A17" t="s">
        <v>1087</v>
      </c>
      <c r="B17" t="s">
        <v>976</v>
      </c>
      <c r="C17">
        <v>84</v>
      </c>
      <c r="D17" t="s">
        <v>977</v>
      </c>
      <c r="E17">
        <v>157</v>
      </c>
      <c r="F17" t="s">
        <v>978</v>
      </c>
      <c r="G17" t="s">
        <v>1077</v>
      </c>
      <c r="H17" t="s">
        <v>979</v>
      </c>
      <c r="I17">
        <v>68</v>
      </c>
    </row>
    <row r="18" spans="1:9" ht="12.75">
      <c r="A18" t="s">
        <v>1088</v>
      </c>
      <c r="B18" t="s">
        <v>1075</v>
      </c>
      <c r="C18">
        <v>3615</v>
      </c>
      <c r="D18" t="s">
        <v>1076</v>
      </c>
      <c r="E18">
        <v>1270</v>
      </c>
      <c r="F18" t="s">
        <v>1078</v>
      </c>
      <c r="G18" t="s">
        <v>1077</v>
      </c>
      <c r="H18" t="s">
        <v>1079</v>
      </c>
      <c r="I18">
        <v>3165</v>
      </c>
    </row>
    <row r="19" spans="1:9" ht="12.75">
      <c r="A19" t="s">
        <v>1089</v>
      </c>
      <c r="B19" t="s">
        <v>975</v>
      </c>
      <c r="C19">
        <v>199</v>
      </c>
      <c r="D19" t="s">
        <v>975</v>
      </c>
      <c r="E19">
        <v>199</v>
      </c>
      <c r="F19" t="s">
        <v>975</v>
      </c>
      <c r="G19" t="s">
        <v>1077</v>
      </c>
      <c r="H19" t="s">
        <v>975</v>
      </c>
      <c r="I19">
        <v>199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tabSelected="1" zoomScalePageLayoutView="0" workbookViewId="0" topLeftCell="A106">
      <selection activeCell="A122" sqref="A122"/>
    </sheetView>
  </sheetViews>
  <sheetFormatPr defaultColWidth="8.8515625" defaultRowHeight="12.75"/>
  <cols>
    <col min="1" max="1" width="20.7109375" style="0" customWidth="1"/>
    <col min="2" max="2" width="11.421875" style="0" customWidth="1"/>
    <col min="3" max="3" width="10.7109375" style="0" customWidth="1"/>
    <col min="4" max="4" width="12.28125" style="0" customWidth="1"/>
    <col min="5" max="5" width="12.140625" style="0" customWidth="1"/>
    <col min="6" max="6" width="10.421875" style="0" customWidth="1"/>
    <col min="7" max="7" width="12.140625" style="0" customWidth="1"/>
    <col min="8" max="8" width="10.421875" style="0" customWidth="1"/>
    <col min="9" max="9" width="10.8515625" style="0" customWidth="1"/>
    <col min="10" max="10" width="11.421875" style="0" customWidth="1"/>
    <col min="11" max="11" width="12.7109375" style="0" customWidth="1"/>
    <col min="12" max="12" width="10.421875" style="0" bestFit="1" customWidth="1"/>
    <col min="14" max="14" width="10.421875" style="0" customWidth="1"/>
    <col min="15" max="15" width="11.421875" style="0" bestFit="1" customWidth="1"/>
    <col min="16" max="16" width="11.28125" style="0" customWidth="1"/>
  </cols>
  <sheetData>
    <row r="1" ht="12.75">
      <c r="A1" s="1" t="s">
        <v>460</v>
      </c>
    </row>
    <row r="2" spans="1:16" ht="12.75">
      <c r="A2" s="1" t="s">
        <v>764</v>
      </c>
      <c r="E2" s="1" t="s">
        <v>547</v>
      </c>
      <c r="H2" s="4" t="s">
        <v>304</v>
      </c>
      <c r="I2" s="5"/>
      <c r="J2" s="5"/>
      <c r="K2" s="4" t="s">
        <v>1125</v>
      </c>
      <c r="L2" s="5"/>
      <c r="M2" s="5"/>
      <c r="N2" s="4" t="s">
        <v>1380</v>
      </c>
      <c r="O2" s="5"/>
      <c r="P2" s="5"/>
    </row>
    <row r="3" spans="1:16" ht="51">
      <c r="A3" s="5" t="s">
        <v>1108</v>
      </c>
      <c r="B3" s="5">
        <f>(1*'Boiler Data'!L28)</f>
        <v>4</v>
      </c>
      <c r="C3" s="5" t="s">
        <v>1373</v>
      </c>
      <c r="D3" s="5"/>
      <c r="E3" s="5" t="s">
        <v>1109</v>
      </c>
      <c r="F3" s="214">
        <v>19.5</v>
      </c>
      <c r="G3" s="5" t="s">
        <v>500</v>
      </c>
      <c r="H3" s="5" t="s">
        <v>1115</v>
      </c>
      <c r="I3" s="5">
        <v>1800</v>
      </c>
      <c r="J3" s="5" t="s">
        <v>501</v>
      </c>
      <c r="K3" s="5" t="s">
        <v>1126</v>
      </c>
      <c r="L3" s="5">
        <v>6</v>
      </c>
      <c r="M3" s="5" t="s">
        <v>1374</v>
      </c>
      <c r="N3" s="5" t="s">
        <v>1382</v>
      </c>
      <c r="O3" s="5">
        <v>95</v>
      </c>
      <c r="P3" s="5"/>
    </row>
    <row r="4" spans="1:16" ht="38.25">
      <c r="A4" s="5" t="s">
        <v>1118</v>
      </c>
      <c r="B4" s="5">
        <f>(1*'Boiler Data'!N28)</f>
        <v>190</v>
      </c>
      <c r="C4" s="5" t="s">
        <v>1374</v>
      </c>
      <c r="D4" s="5"/>
      <c r="E4" s="5" t="s">
        <v>1110</v>
      </c>
      <c r="F4" s="214">
        <v>17.9</v>
      </c>
      <c r="G4" s="5" t="s">
        <v>502</v>
      </c>
      <c r="H4" s="4" t="s">
        <v>1122</v>
      </c>
      <c r="I4" s="5"/>
      <c r="J4" s="5"/>
      <c r="K4" s="5" t="s">
        <v>1127</v>
      </c>
      <c r="L4" s="5">
        <v>276.5</v>
      </c>
      <c r="M4" s="5" t="s">
        <v>1371</v>
      </c>
      <c r="N4" s="5" t="s">
        <v>1381</v>
      </c>
      <c r="O4" s="5">
        <f>(100-O3)</f>
        <v>5</v>
      </c>
      <c r="P4" s="5"/>
    </row>
    <row r="5" spans="1:16" ht="38.25">
      <c r="A5" s="5" t="s">
        <v>1119</v>
      </c>
      <c r="B5" s="5">
        <v>20.6</v>
      </c>
      <c r="C5" s="5" t="s">
        <v>1374</v>
      </c>
      <c r="D5" s="5"/>
      <c r="E5" s="5" t="s">
        <v>1111</v>
      </c>
      <c r="F5" s="214">
        <v>15.5</v>
      </c>
      <c r="G5" s="5" t="s">
        <v>503</v>
      </c>
      <c r="H5" s="5" t="s">
        <v>1129</v>
      </c>
      <c r="I5" s="214">
        <f>(F4-F5)</f>
        <v>2.3999999999999986</v>
      </c>
      <c r="J5" s="5"/>
      <c r="K5" s="219" t="s">
        <v>1093</v>
      </c>
      <c r="L5" s="221">
        <f>('Boiler Disposal&amp;Recycling'!B100)*L10</f>
        <v>16.4153088</v>
      </c>
      <c r="M5" s="5" t="s">
        <v>1371</v>
      </c>
      <c r="N5" s="5" t="s">
        <v>1157</v>
      </c>
      <c r="O5" s="5">
        <v>3.5</v>
      </c>
      <c r="P5" s="5" t="s">
        <v>1297</v>
      </c>
    </row>
    <row r="6" spans="1:16" ht="38.25">
      <c r="A6" s="5" t="s">
        <v>1120</v>
      </c>
      <c r="B6" s="5">
        <v>3.5</v>
      </c>
      <c r="C6" s="5" t="s">
        <v>1374</v>
      </c>
      <c r="D6" s="5"/>
      <c r="E6" s="5" t="s">
        <v>1112</v>
      </c>
      <c r="F6" s="214">
        <v>10</v>
      </c>
      <c r="G6" s="5" t="s">
        <v>504</v>
      </c>
      <c r="H6" s="5" t="s">
        <v>1130</v>
      </c>
      <c r="I6" s="214">
        <f>(F4-F6)</f>
        <v>7.899999999999999</v>
      </c>
      <c r="J6" s="5"/>
      <c r="K6" s="219" t="s">
        <v>1094</v>
      </c>
      <c r="L6" s="221">
        <f>('Boiler Disposal&amp;Recycling'!B101*L10)</f>
        <v>2764.0483200000003</v>
      </c>
      <c r="M6" s="5"/>
      <c r="N6" s="5" t="s">
        <v>1160</v>
      </c>
      <c r="O6" s="231">
        <v>0.45359237</v>
      </c>
      <c r="P6" s="5" t="s">
        <v>1372</v>
      </c>
    </row>
    <row r="7" spans="1:16" ht="51.75" customHeight="1">
      <c r="A7" s="5" t="s">
        <v>1121</v>
      </c>
      <c r="B7" s="5">
        <v>186.95</v>
      </c>
      <c r="C7" s="5" t="s">
        <v>1113</v>
      </c>
      <c r="D7" s="5"/>
      <c r="E7" s="5" t="s">
        <v>1383</v>
      </c>
      <c r="F7" s="209">
        <f>(B3*B7)/F5</f>
        <v>48.24516129032258</v>
      </c>
      <c r="G7" s="5" t="s">
        <v>1116</v>
      </c>
      <c r="H7" s="5" t="s">
        <v>1131</v>
      </c>
      <c r="I7" s="5">
        <f>(I5*I3)/1000</f>
        <v>4.319999999999998</v>
      </c>
      <c r="J7" s="5" t="s">
        <v>1124</v>
      </c>
      <c r="K7" s="219" t="s">
        <v>1095</v>
      </c>
      <c r="L7" s="221">
        <f>('Boiler Disposal&amp;Recycling'!B102*L10)</f>
        <v>102.17725056</v>
      </c>
      <c r="M7" s="5" t="s">
        <v>1371</v>
      </c>
      <c r="N7" s="5" t="s">
        <v>1161</v>
      </c>
      <c r="O7" s="209">
        <f>(1*'Boiler Disposal&amp;Recycling'!K107)</f>
        <v>2427.7777777777774</v>
      </c>
      <c r="P7" s="5" t="s">
        <v>1295</v>
      </c>
    </row>
    <row r="8" spans="1:16" ht="51">
      <c r="A8" s="5" t="s">
        <v>1262</v>
      </c>
      <c r="B8" s="5">
        <v>314</v>
      </c>
      <c r="C8" s="5" t="s">
        <v>1374</v>
      </c>
      <c r="E8" s="5" t="s">
        <v>1138</v>
      </c>
      <c r="F8" s="215">
        <f>(B3*B7)/F6</f>
        <v>74.78</v>
      </c>
      <c r="G8" s="5" t="s">
        <v>1117</v>
      </c>
      <c r="H8" s="5" t="s">
        <v>1132</v>
      </c>
      <c r="I8" s="5">
        <f>(I6*I3)/1000</f>
        <v>14.219999999999999</v>
      </c>
      <c r="J8" s="5" t="s">
        <v>1123</v>
      </c>
      <c r="K8" s="219" t="s">
        <v>1096</v>
      </c>
      <c r="L8" s="221">
        <f>('Boiler Disposal&amp;Recycling'!B103*L10)</f>
        <v>1749.3569280000002</v>
      </c>
      <c r="M8" s="5"/>
      <c r="N8" s="5"/>
      <c r="O8" s="5"/>
      <c r="P8" s="5"/>
    </row>
    <row r="9" spans="1:16" ht="38.25">
      <c r="A9" s="5" t="s">
        <v>1379</v>
      </c>
      <c r="B9" s="5">
        <v>28</v>
      </c>
      <c r="E9" s="5" t="s">
        <v>1114</v>
      </c>
      <c r="F9" s="216">
        <v>3.08</v>
      </c>
      <c r="H9" s="5"/>
      <c r="I9" s="5"/>
      <c r="J9" s="5"/>
      <c r="K9" s="219" t="s">
        <v>985</v>
      </c>
      <c r="L9" s="221">
        <f>('Boiler Disposal&amp;Recycling'!B104*L10)</f>
        <v>334.2607488</v>
      </c>
      <c r="M9" s="5" t="s">
        <v>1371</v>
      </c>
      <c r="N9" s="5"/>
      <c r="O9" s="5"/>
      <c r="P9" s="5"/>
    </row>
    <row r="10" spans="6:13" ht="25.5">
      <c r="F10" s="5"/>
      <c r="G10" s="6"/>
      <c r="K10" s="220" t="s">
        <v>1294</v>
      </c>
      <c r="L10" s="222">
        <f>(1*'Boiler Disposal&amp;Recycling'!B116)</f>
        <v>1.609344</v>
      </c>
      <c r="M10" s="5" t="s">
        <v>1372</v>
      </c>
    </row>
    <row r="11" ht="15.75">
      <c r="A11" s="208" t="s">
        <v>458</v>
      </c>
    </row>
    <row r="13" ht="12.75">
      <c r="A13" s="1" t="s">
        <v>1140</v>
      </c>
    </row>
    <row r="14" spans="1:8" ht="46.5" customHeight="1">
      <c r="A14" s="4" t="s">
        <v>440</v>
      </c>
      <c r="B14" s="4" t="s">
        <v>1012</v>
      </c>
      <c r="C14" s="4" t="s">
        <v>1017</v>
      </c>
      <c r="D14" s="4" t="s">
        <v>1013</v>
      </c>
      <c r="E14" s="4" t="s">
        <v>1018</v>
      </c>
      <c r="F14" s="4" t="s">
        <v>1014</v>
      </c>
      <c r="G14" s="4" t="s">
        <v>1019</v>
      </c>
      <c r="H14" s="4" t="s">
        <v>1015</v>
      </c>
    </row>
    <row r="15" spans="1:8" ht="12.75">
      <c r="A15" t="s">
        <v>1026</v>
      </c>
      <c r="B15" s="211">
        <f>(B3*B4)*1000</f>
        <v>760000</v>
      </c>
      <c r="C15" s="232">
        <f>+(1*'Eco indicator Points'!B6)</f>
        <v>86</v>
      </c>
      <c r="D15" s="211">
        <f>(C15*B15)/1000</f>
        <v>65360</v>
      </c>
      <c r="E15" s="232">
        <f>(1*'Eco indicator Points'!B4)</f>
        <v>94</v>
      </c>
      <c r="F15" s="211">
        <f>(E15*B15)/1000</f>
        <v>71440</v>
      </c>
      <c r="G15" s="232">
        <f>(1*'Eco indicator Points'!B8)</f>
        <v>110</v>
      </c>
      <c r="H15" s="211">
        <f>(G15*B15)/1000</f>
        <v>83600</v>
      </c>
    </row>
    <row r="16" ht="12.75">
      <c r="A16" s="1" t="s">
        <v>1141</v>
      </c>
    </row>
    <row r="17" spans="1:10" ht="38.25">
      <c r="A17" s="4" t="s">
        <v>1154</v>
      </c>
      <c r="B17" s="4" t="s">
        <v>1010</v>
      </c>
      <c r="C17" s="4" t="s">
        <v>1409</v>
      </c>
      <c r="D17" s="4" t="s">
        <v>1016</v>
      </c>
      <c r="E17" s="4" t="s">
        <v>1412</v>
      </c>
      <c r="F17" s="4" t="s">
        <v>1022</v>
      </c>
      <c r="G17" s="4" t="s">
        <v>1021</v>
      </c>
      <c r="H17" s="5"/>
      <c r="I17" s="5"/>
      <c r="J17" s="5"/>
    </row>
    <row r="18" spans="1:7" ht="25.5">
      <c r="A18" s="5" t="s">
        <v>1284</v>
      </c>
      <c r="B18" s="211">
        <f>(B3*B4)</f>
        <v>760</v>
      </c>
      <c r="C18" s="211">
        <f>(1*L3)</f>
        <v>6</v>
      </c>
      <c r="D18" s="211">
        <f>(B4/B9)</f>
        <v>6.785714285714286</v>
      </c>
      <c r="E18" s="211">
        <f>(D18*C18*B18)</f>
        <v>30942.857142857145</v>
      </c>
      <c r="F18" s="232">
        <f>(1*'Eco indicator Points'!B70)</f>
        <v>22</v>
      </c>
      <c r="G18" s="211">
        <f>(F18*E18)/1000</f>
        <v>680.7428571428571</v>
      </c>
    </row>
    <row r="19" spans="1:7" ht="25.5">
      <c r="A19" s="5" t="s">
        <v>1285</v>
      </c>
      <c r="B19" s="211">
        <f>(B3*B8)</f>
        <v>1256</v>
      </c>
      <c r="C19" s="211">
        <f>(1*L3)</f>
        <v>6</v>
      </c>
      <c r="D19" s="211">
        <f>(B4/B9)</f>
        <v>6.785714285714286</v>
      </c>
      <c r="E19" s="211">
        <f>(D19*C19*B19)</f>
        <v>51137.142857142855</v>
      </c>
      <c r="F19" s="232">
        <f>(1*'Eco indicator Points'!B70)</f>
        <v>22</v>
      </c>
      <c r="G19" s="211">
        <f>(F19*E19)/1000</f>
        <v>1125.0171428571427</v>
      </c>
    </row>
    <row r="20" spans="1:10" ht="38.25">
      <c r="A20" s="4" t="s">
        <v>440</v>
      </c>
      <c r="B20" s="4" t="s">
        <v>1010</v>
      </c>
      <c r="C20" s="4" t="s">
        <v>1020</v>
      </c>
      <c r="D20" s="4" t="s">
        <v>12</v>
      </c>
      <c r="E20" s="4" t="s">
        <v>13</v>
      </c>
      <c r="F20" s="5"/>
      <c r="G20" s="5"/>
      <c r="H20" s="5"/>
      <c r="I20" s="5"/>
      <c r="J20" s="5"/>
    </row>
    <row r="21" spans="1:5" ht="12.75">
      <c r="A21" t="s">
        <v>1155</v>
      </c>
      <c r="B21" s="211">
        <v>146.186</v>
      </c>
      <c r="C21" s="211">
        <f>(B21*1000)</f>
        <v>146186</v>
      </c>
      <c r="D21" s="232">
        <f>(1*'Eco indicator Points'!B48)</f>
        <v>13</v>
      </c>
      <c r="E21" s="211">
        <f>(D21*C21)/1000</f>
        <v>1900.418</v>
      </c>
    </row>
    <row r="22" spans="1:6" ht="12.75">
      <c r="A22" s="7" t="s">
        <v>9</v>
      </c>
      <c r="B22" s="237">
        <f>(1*B18)</f>
        <v>760</v>
      </c>
      <c r="C22" s="237">
        <f>(1*B15)</f>
        <v>760000</v>
      </c>
      <c r="D22" s="238">
        <f>(1*'Eco indicator Points'!B83)</f>
        <v>1.4</v>
      </c>
      <c r="E22" s="237">
        <f>(D22*C22)/1000</f>
        <v>1064</v>
      </c>
      <c r="F22" s="7" t="s">
        <v>10</v>
      </c>
    </row>
    <row r="24" spans="1:8" ht="51">
      <c r="A24" s="4" t="s">
        <v>1000</v>
      </c>
      <c r="B24" s="4" t="s">
        <v>1263</v>
      </c>
      <c r="C24" s="4" t="s">
        <v>1264</v>
      </c>
      <c r="D24" s="4" t="s">
        <v>1265</v>
      </c>
      <c r="E24" s="4" t="s">
        <v>1266</v>
      </c>
      <c r="F24" s="4" t="s">
        <v>1298</v>
      </c>
      <c r="G24" s="4" t="s">
        <v>1299</v>
      </c>
      <c r="H24" s="7" t="s">
        <v>11</v>
      </c>
    </row>
    <row r="25" spans="1:7" ht="12.75">
      <c r="A25" t="s">
        <v>185</v>
      </c>
      <c r="B25" s="239">
        <f>(D15+G18+E21+E22)</f>
        <v>69005.16085714287</v>
      </c>
      <c r="C25" s="240">
        <f>(B25/1000)</f>
        <v>69.00516085714287</v>
      </c>
      <c r="D25" s="21">
        <f>(D15+G19+E21+E22)</f>
        <v>69449.43514285715</v>
      </c>
      <c r="E25" s="240">
        <f>(D25/1000)</f>
        <v>69.44943514285715</v>
      </c>
      <c r="F25" s="6">
        <f>(E25-C25)</f>
        <v>0.44427428571428607</v>
      </c>
      <c r="G25" s="6">
        <f>(F25/C25)*100</f>
        <v>0.6438276212905869</v>
      </c>
    </row>
    <row r="26" spans="1:7" ht="12.75">
      <c r="A26" t="s">
        <v>445</v>
      </c>
      <c r="B26" s="239">
        <f>(F15+G18+E21+E22)</f>
        <v>75085.16085714287</v>
      </c>
      <c r="C26" s="240">
        <f>(B26/1000)</f>
        <v>75.08516085714287</v>
      </c>
      <c r="D26" s="21">
        <f>(F15+G19+E21+E22)</f>
        <v>75529.43514285715</v>
      </c>
      <c r="E26" s="240">
        <f>(D26/1000)</f>
        <v>75.52943514285715</v>
      </c>
      <c r="F26" s="6">
        <f>(E26-C26)</f>
        <v>0.44427428571428607</v>
      </c>
      <c r="G26" s="6">
        <f>(F26/C26)*100</f>
        <v>0.591693858869881</v>
      </c>
    </row>
    <row r="27" spans="1:7" ht="12.75">
      <c r="A27" t="s">
        <v>1023</v>
      </c>
      <c r="B27" s="239">
        <f>(H15+G18+E21+E22)</f>
        <v>87245.16085714287</v>
      </c>
      <c r="C27" s="240">
        <f>(B27/1000)</f>
        <v>87.24516085714286</v>
      </c>
      <c r="D27" s="21">
        <f>(H15+G19+E21+E22)</f>
        <v>87689.43514285715</v>
      </c>
      <c r="E27" s="240">
        <f>(D27/1000)</f>
        <v>87.68943514285715</v>
      </c>
      <c r="F27" s="6">
        <f>(E27-C27)</f>
        <v>0.44427428571428607</v>
      </c>
      <c r="G27" s="6">
        <f>(F27/C27)*100</f>
        <v>0.5092251322016019</v>
      </c>
    </row>
    <row r="29" ht="15.75">
      <c r="A29" s="208" t="s">
        <v>459</v>
      </c>
    </row>
    <row r="30" ht="12.75">
      <c r="A30" s="1" t="s">
        <v>1140</v>
      </c>
    </row>
    <row r="31" spans="1:8" ht="38.25">
      <c r="A31" s="4" t="s">
        <v>440</v>
      </c>
      <c r="B31" s="4" t="s">
        <v>1012</v>
      </c>
      <c r="C31" s="4" t="s">
        <v>1017</v>
      </c>
      <c r="D31" s="4" t="s">
        <v>1013</v>
      </c>
      <c r="E31" s="4" t="s">
        <v>1018</v>
      </c>
      <c r="F31" s="4" t="s">
        <v>1014</v>
      </c>
      <c r="G31" s="4" t="s">
        <v>1019</v>
      </c>
      <c r="H31" s="4" t="s">
        <v>1015</v>
      </c>
    </row>
    <row r="32" spans="1:8" ht="12.75">
      <c r="A32" t="s">
        <v>1026</v>
      </c>
      <c r="B32" s="211">
        <f>(B3*B4)*1000</f>
        <v>760000</v>
      </c>
      <c r="C32" s="232">
        <f>(1*'Eco indicator Points'!B6)</f>
        <v>86</v>
      </c>
      <c r="D32" s="211">
        <f>(C32*B32)/1000</f>
        <v>65360</v>
      </c>
      <c r="E32" s="232">
        <f>(1*'Eco indicator Points'!B4)</f>
        <v>94</v>
      </c>
      <c r="F32" s="211">
        <f>(E32*B32)/1000</f>
        <v>71440</v>
      </c>
      <c r="G32" s="232">
        <f>(1*'Eco indicator Points'!B8)</f>
        <v>110</v>
      </c>
      <c r="H32" s="211">
        <f>(G32*B32)/1000</f>
        <v>83600</v>
      </c>
    </row>
    <row r="33" spans="1:10" ht="51">
      <c r="A33" s="4" t="s">
        <v>1154</v>
      </c>
      <c r="B33" s="4" t="s">
        <v>1142</v>
      </c>
      <c r="C33" s="4" t="s">
        <v>1145</v>
      </c>
      <c r="D33" s="4" t="s">
        <v>1146</v>
      </c>
      <c r="E33" s="5"/>
      <c r="F33" s="5"/>
      <c r="G33" s="5"/>
      <c r="H33" s="5"/>
      <c r="I33" s="5"/>
      <c r="J33" s="5"/>
    </row>
    <row r="34" spans="1:4" ht="12.75">
      <c r="A34" s="5" t="s">
        <v>1143</v>
      </c>
      <c r="B34" s="211">
        <v>3025</v>
      </c>
      <c r="C34" s="232">
        <f>(1*'Eco indicator Points'!B23)</f>
        <v>800</v>
      </c>
      <c r="D34" s="211">
        <f>(C34*B34)/1000</f>
        <v>2420</v>
      </c>
    </row>
    <row r="35" spans="1:4" ht="12.75">
      <c r="A35" s="5" t="s">
        <v>1144</v>
      </c>
      <c r="B35" s="211">
        <v>984</v>
      </c>
      <c r="C35" s="232">
        <f>(1*'Eco indicator Points'!B23)</f>
        <v>800</v>
      </c>
      <c r="D35" s="211">
        <f>(C35*B35)/1000</f>
        <v>787.2</v>
      </c>
    </row>
    <row r="36" spans="1:10" ht="38.25">
      <c r="A36" s="4" t="s">
        <v>1133</v>
      </c>
      <c r="B36" s="4" t="s">
        <v>1011</v>
      </c>
      <c r="C36" s="4" t="s">
        <v>1128</v>
      </c>
      <c r="D36" s="4" t="s">
        <v>1012</v>
      </c>
      <c r="E36" s="4" t="s">
        <v>1017</v>
      </c>
      <c r="F36" s="4" t="s">
        <v>1013</v>
      </c>
      <c r="G36" s="4" t="s">
        <v>1018</v>
      </c>
      <c r="H36" s="4" t="s">
        <v>1014</v>
      </c>
      <c r="I36" s="4" t="s">
        <v>1019</v>
      </c>
      <c r="J36" s="4" t="s">
        <v>1015</v>
      </c>
    </row>
    <row r="37" spans="1:10" ht="12.75">
      <c r="A37" s="5" t="s">
        <v>1134</v>
      </c>
      <c r="B37" s="211">
        <f>(1*F7)</f>
        <v>48.24516129032258</v>
      </c>
      <c r="C37" s="211">
        <f>(1*$F$9)</f>
        <v>3.08</v>
      </c>
      <c r="D37" s="211">
        <f>(C37*B37)*1000</f>
        <v>148595.09677419355</v>
      </c>
      <c r="E37" s="232">
        <f>(1*'Eco indicator Points'!$B$6)</f>
        <v>86</v>
      </c>
      <c r="F37" s="211">
        <f>(E37*D37)/1000</f>
        <v>12779.178322580645</v>
      </c>
      <c r="G37" s="232">
        <f>(1*'Eco indicator Points'!$B$4)</f>
        <v>94</v>
      </c>
      <c r="H37" s="211">
        <f>(G37*D37)/1000</f>
        <v>13967.939096774193</v>
      </c>
      <c r="I37" s="232">
        <f>(1*'Eco indicator Points'!$B$8)</f>
        <v>110</v>
      </c>
      <c r="J37" s="211">
        <f>(I37*D37)/1000</f>
        <v>16345.460645161289</v>
      </c>
    </row>
    <row r="38" spans="1:10" ht="12.75">
      <c r="A38" s="5" t="s">
        <v>1135</v>
      </c>
      <c r="B38" s="211">
        <f>(1*F8)</f>
        <v>74.78</v>
      </c>
      <c r="C38" s="211">
        <f>(1*$F$9)</f>
        <v>3.08</v>
      </c>
      <c r="D38" s="211">
        <f>(C38*B38)*1000</f>
        <v>230322.40000000002</v>
      </c>
      <c r="E38" s="232">
        <f>(1*'Eco indicator Points'!$B$6)</f>
        <v>86</v>
      </c>
      <c r="F38" s="211">
        <f>(E38*D38)/1000</f>
        <v>19807.726400000003</v>
      </c>
      <c r="G38" s="232">
        <f>(1*'Eco indicator Points'!$B$4)</f>
        <v>94</v>
      </c>
      <c r="H38" s="211">
        <f>(G38*D38)/1000</f>
        <v>21650.3056</v>
      </c>
      <c r="I38" s="232">
        <f>(1*'Eco indicator Points'!$B$8)</f>
        <v>110</v>
      </c>
      <c r="J38" s="211">
        <f>(I38*D38)/1000</f>
        <v>25335.464000000004</v>
      </c>
    </row>
    <row r="39" spans="1:10" ht="25.5">
      <c r="A39" s="5" t="s">
        <v>1136</v>
      </c>
      <c r="B39" s="211">
        <f>(B37/10)</f>
        <v>4.824516129032258</v>
      </c>
      <c r="C39" s="211">
        <f>(1*$F$9)</f>
        <v>3.08</v>
      </c>
      <c r="D39" s="211">
        <f>(C39*B39)*1000</f>
        <v>14859.509677419353</v>
      </c>
      <c r="E39" s="232">
        <f>(1*'Eco indicator Points'!$B$6)</f>
        <v>86</v>
      </c>
      <c r="F39" s="211">
        <f>(E39*D39)/1000</f>
        <v>1277.9178322580642</v>
      </c>
      <c r="G39" s="232">
        <f>(1*'Eco indicator Points'!$B$4)</f>
        <v>94</v>
      </c>
      <c r="H39" s="211">
        <f>(G39*D39)/1000</f>
        <v>1396.7939096774192</v>
      </c>
      <c r="I39" s="232">
        <f>(1*'Eco indicator Points'!$B$8)</f>
        <v>110</v>
      </c>
      <c r="J39" s="211">
        <f>(I39*D39)/1000</f>
        <v>1634.546064516129</v>
      </c>
    </row>
    <row r="40" spans="1:10" ht="25.5">
      <c r="A40" s="5" t="s">
        <v>1137</v>
      </c>
      <c r="B40" s="211">
        <f>(B38/10)</f>
        <v>7.478</v>
      </c>
      <c r="C40" s="211">
        <f>(1*$F$9)</f>
        <v>3.08</v>
      </c>
      <c r="D40" s="211">
        <f>(C40*B40)*1000</f>
        <v>23032.239999999998</v>
      </c>
      <c r="E40" s="232">
        <f>(1*'Eco indicator Points'!$B$6)</f>
        <v>86</v>
      </c>
      <c r="F40" s="211">
        <f>(E40*D40)/1000</f>
        <v>1980.77264</v>
      </c>
      <c r="G40" s="232">
        <f>(1*'Eco indicator Points'!$B$4)</f>
        <v>94</v>
      </c>
      <c r="H40" s="211">
        <f>(G40*D40)/1000</f>
        <v>2165.0305599999997</v>
      </c>
      <c r="I40" s="232">
        <f>(1*'Eco indicator Points'!$B$8)</f>
        <v>110</v>
      </c>
      <c r="J40" s="211">
        <f>(I40*D40)/1000</f>
        <v>2533.5463999999997</v>
      </c>
    </row>
    <row r="41" spans="1:7" ht="38.25">
      <c r="A41" s="4" t="s">
        <v>1154</v>
      </c>
      <c r="B41" s="4" t="s">
        <v>1010</v>
      </c>
      <c r="C41" s="4" t="s">
        <v>1409</v>
      </c>
      <c r="D41" s="4" t="s">
        <v>1016</v>
      </c>
      <c r="E41" s="4" t="s">
        <v>1412</v>
      </c>
      <c r="F41" s="4" t="s">
        <v>1022</v>
      </c>
      <c r="G41" s="4" t="s">
        <v>1021</v>
      </c>
    </row>
    <row r="42" spans="1:7" ht="38.25">
      <c r="A42" s="5" t="s">
        <v>994</v>
      </c>
      <c r="B42" s="217">
        <f>(B37*C37)</f>
        <v>148.59509677419354</v>
      </c>
      <c r="C42" s="217">
        <f>(1*L4)</f>
        <v>276.5</v>
      </c>
      <c r="D42" s="212">
        <v>1</v>
      </c>
      <c r="E42" s="211">
        <f>(D42*C42*B42)</f>
        <v>41086.54425806451</v>
      </c>
      <c r="F42" s="233">
        <f>(1*'Eco indicator Points'!$B$70)</f>
        <v>22</v>
      </c>
      <c r="G42" s="217">
        <f>(F42*E42)/1000</f>
        <v>903.9039736774192</v>
      </c>
    </row>
    <row r="43" spans="1:7" ht="40.5" customHeight="1">
      <c r="A43" s="5" t="s">
        <v>995</v>
      </c>
      <c r="B43" s="217">
        <f>(B38*C38)</f>
        <v>230.32240000000002</v>
      </c>
      <c r="C43" s="217">
        <f>(1*L4)</f>
        <v>276.5</v>
      </c>
      <c r="D43" s="212">
        <v>1</v>
      </c>
      <c r="E43" s="211">
        <f>(D43*C43*B43)</f>
        <v>63684.1436</v>
      </c>
      <c r="F43" s="233">
        <f>(1*'Eco indicator Points'!$B$70)</f>
        <v>22</v>
      </c>
      <c r="G43" s="217">
        <f>(F43*E43)/1000</f>
        <v>1401.0511592</v>
      </c>
    </row>
    <row r="44" ht="12.75">
      <c r="A44" s="1" t="s">
        <v>1141</v>
      </c>
    </row>
    <row r="45" spans="1:7" ht="38.25">
      <c r="A45" s="4" t="s">
        <v>1154</v>
      </c>
      <c r="B45" s="4" t="s">
        <v>1010</v>
      </c>
      <c r="C45" s="4" t="s">
        <v>1409</v>
      </c>
      <c r="D45" s="4" t="s">
        <v>1016</v>
      </c>
      <c r="E45" s="4" t="s">
        <v>1412</v>
      </c>
      <c r="F45" s="4" t="s">
        <v>1022</v>
      </c>
      <c r="G45" s="4" t="s">
        <v>1021</v>
      </c>
    </row>
    <row r="46" spans="1:7" ht="38.25">
      <c r="A46" s="5" t="s">
        <v>996</v>
      </c>
      <c r="B46" s="217">
        <f>(B37*C37)</f>
        <v>148.59509677419354</v>
      </c>
      <c r="C46" s="212">
        <f>(1*L3)</f>
        <v>6</v>
      </c>
      <c r="D46" s="212">
        <v>1</v>
      </c>
      <c r="E46" s="211">
        <f>(D46*C46*B46)</f>
        <v>891.5705806451613</v>
      </c>
      <c r="F46" s="233">
        <f>(1*'Eco indicator Points'!$B$70)</f>
        <v>22</v>
      </c>
      <c r="G46" s="213">
        <f>(F46*E46)/1000</f>
        <v>19.614552774193548</v>
      </c>
    </row>
    <row r="47" spans="1:7" ht="39" customHeight="1">
      <c r="A47" s="5" t="s">
        <v>997</v>
      </c>
      <c r="B47" s="217">
        <f>(B38*C38)</f>
        <v>230.32240000000002</v>
      </c>
      <c r="C47" s="212">
        <f>(1*L3)</f>
        <v>6</v>
      </c>
      <c r="D47" s="212">
        <v>1</v>
      </c>
      <c r="E47" s="211">
        <f>(D47*C47*B47)</f>
        <v>1381.9344</v>
      </c>
      <c r="F47" s="233">
        <f>(1*'Eco indicator Points'!$B$70)</f>
        <v>22</v>
      </c>
      <c r="G47" s="213">
        <f>(F47*E47)/1000</f>
        <v>30.402556800000003</v>
      </c>
    </row>
    <row r="48" spans="1:7" ht="40.5" customHeight="1">
      <c r="A48" s="5" t="s">
        <v>1156</v>
      </c>
      <c r="B48" s="212">
        <f>(B3*B4)</f>
        <v>760</v>
      </c>
      <c r="C48" s="212">
        <v>6</v>
      </c>
      <c r="D48" s="212">
        <v>1</v>
      </c>
      <c r="E48" s="212">
        <f>(D48*C48*B48)</f>
        <v>4560</v>
      </c>
      <c r="F48" s="233">
        <f>(1*'Eco indicator Points'!$B$70)</f>
        <v>22</v>
      </c>
      <c r="G48" s="213">
        <f>(F48*E48)/1000</f>
        <v>100.32</v>
      </c>
    </row>
    <row r="49" spans="1:8" ht="41.25" customHeight="1">
      <c r="A49" s="4" t="s">
        <v>440</v>
      </c>
      <c r="B49" s="4" t="s">
        <v>1147</v>
      </c>
      <c r="C49" s="4" t="s">
        <v>1148</v>
      </c>
      <c r="D49" s="4" t="s">
        <v>1149</v>
      </c>
      <c r="E49" s="4" t="s">
        <v>1150</v>
      </c>
      <c r="F49" s="4" t="s">
        <v>1227</v>
      </c>
      <c r="G49" s="4" t="s">
        <v>1151</v>
      </c>
      <c r="H49" s="4" t="s">
        <v>1152</v>
      </c>
    </row>
    <row r="50" spans="1:8" ht="12.75">
      <c r="A50" s="5" t="s">
        <v>998</v>
      </c>
      <c r="B50" s="212">
        <f>(1*I5)</f>
        <v>2.3999999999999986</v>
      </c>
      <c r="C50" s="211">
        <f>(1*B37)</f>
        <v>48.24516129032258</v>
      </c>
      <c r="D50" s="217">
        <f>(C50*B50)</f>
        <v>115.78838709677412</v>
      </c>
      <c r="E50" s="212">
        <f>(1*I3)</f>
        <v>1800</v>
      </c>
      <c r="F50" s="212">
        <f>(E50*D50)</f>
        <v>208419.0967741934</v>
      </c>
      <c r="G50" s="233">
        <f>(1*'Eco indicator Points'!$B$58)</f>
        <v>20</v>
      </c>
      <c r="H50" s="211">
        <f>(G50*F50)/1000</f>
        <v>4168.381935483868</v>
      </c>
    </row>
    <row r="51" spans="1:8" ht="12.75">
      <c r="A51" s="5" t="s">
        <v>999</v>
      </c>
      <c r="B51" s="212">
        <f>(1*I6)</f>
        <v>7.899999999999999</v>
      </c>
      <c r="C51" s="211">
        <f>(1*B38)</f>
        <v>74.78</v>
      </c>
      <c r="D51" s="217">
        <f>(C51*B51)</f>
        <v>590.762</v>
      </c>
      <c r="E51" s="212">
        <f>(1*I3)</f>
        <v>1800</v>
      </c>
      <c r="F51" s="212">
        <f>(E51*D51)</f>
        <v>1063371.5999999999</v>
      </c>
      <c r="G51" s="233">
        <f>(1*'Eco indicator Points'!$B$58)</f>
        <v>20</v>
      </c>
      <c r="H51" s="211">
        <f>(G51*F51)/1000</f>
        <v>21267.431999999997</v>
      </c>
    </row>
    <row r="52" spans="1:8" ht="38.25">
      <c r="A52" s="27" t="s">
        <v>440</v>
      </c>
      <c r="B52" s="27" t="s">
        <v>1010</v>
      </c>
      <c r="C52" s="27" t="s">
        <v>1020</v>
      </c>
      <c r="D52" s="27" t="s">
        <v>12</v>
      </c>
      <c r="E52" s="27" t="s">
        <v>13</v>
      </c>
      <c r="F52" s="212"/>
      <c r="G52" s="233"/>
      <c r="H52" s="211"/>
    </row>
    <row r="53" spans="1:8" ht="25.5">
      <c r="A53" s="241" t="s">
        <v>14</v>
      </c>
      <c r="B53" s="242">
        <f>(B48+B46)</f>
        <v>908.5950967741935</v>
      </c>
      <c r="C53" s="243">
        <f>(B53*1000)</f>
        <v>908595.0967741935</v>
      </c>
      <c r="D53" s="27">
        <f>(1*'Eco indicator Points'!B83)</f>
        <v>1.4</v>
      </c>
      <c r="E53" s="243">
        <f>(D53*C53)/1000</f>
        <v>1272.0331354838706</v>
      </c>
      <c r="F53" s="7" t="s">
        <v>10</v>
      </c>
      <c r="G53" s="233"/>
      <c r="H53" s="211"/>
    </row>
    <row r="54" spans="1:8" ht="12.75">
      <c r="A54" s="241" t="s">
        <v>15</v>
      </c>
      <c r="B54" s="242">
        <f>(B48+B47)</f>
        <v>990.3224</v>
      </c>
      <c r="C54" s="243">
        <f>(B54*1000)</f>
        <v>990322.4</v>
      </c>
      <c r="D54" s="27">
        <f>(1*'Eco indicator Points'!B83)</f>
        <v>1.4</v>
      </c>
      <c r="E54" s="243">
        <f>(D54*C54)/1000</f>
        <v>1386.4513599999998</v>
      </c>
      <c r="F54" s="212"/>
      <c r="G54" s="233"/>
      <c r="H54" s="211"/>
    </row>
    <row r="55" spans="1:8" ht="38.25">
      <c r="A55" s="4" t="s">
        <v>1000</v>
      </c>
      <c r="B55" s="218" t="s">
        <v>1267</v>
      </c>
      <c r="C55" s="218" t="s">
        <v>1377</v>
      </c>
      <c r="D55" s="4" t="s">
        <v>1378</v>
      </c>
      <c r="E55" s="4" t="s">
        <v>1268</v>
      </c>
      <c r="F55" s="4" t="s">
        <v>1298</v>
      </c>
      <c r="G55" s="4" t="s">
        <v>1299</v>
      </c>
      <c r="H55" s="7" t="s">
        <v>11</v>
      </c>
    </row>
    <row r="56" spans="1:7" ht="12.75">
      <c r="A56" t="s">
        <v>185</v>
      </c>
      <c r="B56" s="239">
        <f>(D32+D34+D35+F37+F39+G42+G46+G48+H50+E53)</f>
        <v>89088.54975225806</v>
      </c>
      <c r="C56" s="237">
        <f aca="true" t="shared" si="0" ref="C56:E58">(B56/1000)</f>
        <v>89.08854975225806</v>
      </c>
      <c r="D56" s="239">
        <f>(D32+D34+D35+F38+F40+G43+G47+G48+H51+E54)</f>
        <v>114541.35611600001</v>
      </c>
      <c r="E56" s="237">
        <f>(D56/1000)</f>
        <v>114.541356116</v>
      </c>
      <c r="F56" s="8">
        <f>(E56-C56)</f>
        <v>25.452806363741942</v>
      </c>
      <c r="G56" s="244">
        <f>(F56/C56)*100</f>
        <v>28.57023313829038</v>
      </c>
    </row>
    <row r="57" spans="1:7" ht="12.75">
      <c r="A57" t="s">
        <v>445</v>
      </c>
      <c r="B57" s="239">
        <f>(F32+D34+D35+H37+H39+G42+G46+G48+H50+E53)</f>
        <v>96476.18660387096</v>
      </c>
      <c r="C57" s="237">
        <f t="shared" si="0"/>
        <v>96.47618660387096</v>
      </c>
      <c r="D57" s="239">
        <f>(F32+D34+D35+H38+H40+G43+G47+G48+H51+E54)</f>
        <v>122648.19323600002</v>
      </c>
      <c r="E57" s="237">
        <f>(D57/1000)</f>
        <v>122.64819323600003</v>
      </c>
      <c r="F57" s="8">
        <f>(E57-C57)</f>
        <v>26.17200663212907</v>
      </c>
      <c r="G57" s="244">
        <f>(F57/C57)*100</f>
        <v>27.127944784541224</v>
      </c>
    </row>
    <row r="58" spans="1:7" ht="12.75">
      <c r="A58" t="s">
        <v>1023</v>
      </c>
      <c r="B58" s="239">
        <f>(H32+D34+D35+J37+J39+G42+G46+G48+H50+E53)</f>
        <v>111251.46030709676</v>
      </c>
      <c r="C58" s="237">
        <f t="shared" si="0"/>
        <v>111.25146030709676</v>
      </c>
      <c r="D58" s="239">
        <f>(H32+D34+D35+J38+J40+G43+G47+G48+H51+E54)</f>
        <v>138861.867476</v>
      </c>
      <c r="E58" s="237">
        <f t="shared" si="0"/>
        <v>138.86186747600001</v>
      </c>
      <c r="F58" s="8">
        <f>(E58-C58)</f>
        <v>27.61040716890325</v>
      </c>
      <c r="G58" s="244">
        <f>(F58/C58)*100</f>
        <v>24.818017752475267</v>
      </c>
    </row>
    <row r="60" ht="15.75">
      <c r="A60" s="208" t="s">
        <v>461</v>
      </c>
    </row>
    <row r="62" ht="12.75">
      <c r="A62" s="1" t="s">
        <v>1140</v>
      </c>
    </row>
    <row r="63" spans="1:8" ht="38.25">
      <c r="A63" s="4" t="s">
        <v>440</v>
      </c>
      <c r="B63" s="4" t="s">
        <v>1012</v>
      </c>
      <c r="C63" s="4" t="s">
        <v>1017</v>
      </c>
      <c r="D63" s="4" t="s">
        <v>1013</v>
      </c>
      <c r="E63" s="4" t="s">
        <v>1018</v>
      </c>
      <c r="F63" s="4" t="s">
        <v>1014</v>
      </c>
      <c r="G63" s="4" t="s">
        <v>1019</v>
      </c>
      <c r="H63" s="4" t="s">
        <v>1015</v>
      </c>
    </row>
    <row r="64" spans="1:8" ht="12.75">
      <c r="A64" t="s">
        <v>1026</v>
      </c>
      <c r="B64" s="211">
        <f>(B3*B4)*1000</f>
        <v>760000</v>
      </c>
      <c r="C64" s="232">
        <f>(1*'Eco indicator Points'!B6)</f>
        <v>86</v>
      </c>
      <c r="D64" s="211">
        <f>(C64*B64)/1000</f>
        <v>65360</v>
      </c>
      <c r="E64" s="232">
        <f>(1*'Eco indicator Points'!B4)</f>
        <v>94</v>
      </c>
      <c r="F64" s="211">
        <f>(E64*B64)/1000</f>
        <v>71440</v>
      </c>
      <c r="G64" s="232">
        <f>(1*'Eco indicator Points'!B8)</f>
        <v>110</v>
      </c>
      <c r="H64" s="211">
        <f>(G64*B64)/1000</f>
        <v>83600</v>
      </c>
    </row>
    <row r="65" spans="2:10" ht="38.25">
      <c r="B65" s="4" t="s">
        <v>1011</v>
      </c>
      <c r="C65" s="4" t="s">
        <v>1010</v>
      </c>
      <c r="D65" s="4" t="s">
        <v>1012</v>
      </c>
      <c r="E65" s="210" t="s">
        <v>1027</v>
      </c>
      <c r="F65" s="210" t="s">
        <v>1028</v>
      </c>
      <c r="G65" s="209"/>
      <c r="H65" s="209"/>
      <c r="I65" s="209"/>
      <c r="J65" s="209"/>
    </row>
    <row r="66" spans="1:6" ht="12.75">
      <c r="A66" t="s">
        <v>1153</v>
      </c>
      <c r="B66" s="212">
        <v>4</v>
      </c>
      <c r="C66" s="212">
        <v>1.66</v>
      </c>
      <c r="D66" s="211">
        <f>(C66*B66)*1000</f>
        <v>6640</v>
      </c>
      <c r="E66" s="233">
        <f>(1*'Eco indicator Points'!B35)</f>
        <v>240</v>
      </c>
      <c r="F66" s="212">
        <f>(E66*D66)/1000</f>
        <v>1593.6</v>
      </c>
    </row>
    <row r="67" spans="1:10" ht="38.25">
      <c r="A67" s="4" t="s">
        <v>1133</v>
      </c>
      <c r="B67" s="4" t="s">
        <v>1011</v>
      </c>
      <c r="C67" s="4" t="s">
        <v>1128</v>
      </c>
      <c r="D67" s="4" t="s">
        <v>1012</v>
      </c>
      <c r="E67" s="4" t="s">
        <v>1017</v>
      </c>
      <c r="F67" s="4" t="s">
        <v>1013</v>
      </c>
      <c r="G67" s="4" t="s">
        <v>1018</v>
      </c>
      <c r="H67" s="4" t="s">
        <v>1014</v>
      </c>
      <c r="I67" s="4" t="s">
        <v>1019</v>
      </c>
      <c r="J67" s="4" t="s">
        <v>1015</v>
      </c>
    </row>
    <row r="68" spans="1:10" ht="12.75">
      <c r="A68" s="5" t="s">
        <v>1134</v>
      </c>
      <c r="B68" s="211">
        <f>(($B$7*($O$4/100)*$B$3))/F5</f>
        <v>2.412258064516129</v>
      </c>
      <c r="C68" s="211">
        <f>(1*$F$9)</f>
        <v>3.08</v>
      </c>
      <c r="D68" s="211">
        <f>(C68*B68)*1000</f>
        <v>7429.754838709677</v>
      </c>
      <c r="E68" s="232">
        <f>(1*'Eco indicator Points'!$B$6)</f>
        <v>86</v>
      </c>
      <c r="F68" s="211">
        <f>(E68*D68)/1000</f>
        <v>638.9589161290321</v>
      </c>
      <c r="G68" s="232">
        <f>(1*'Eco indicator Points'!$B$4)</f>
        <v>94</v>
      </c>
      <c r="H68" s="211">
        <f>(G68*D68)/1000</f>
        <v>698.3969548387096</v>
      </c>
      <c r="I68" s="232">
        <f>(1*'Eco indicator Points'!$B$8)</f>
        <v>110</v>
      </c>
      <c r="J68" s="211">
        <f>(I68*D68)/1000</f>
        <v>817.2730322580645</v>
      </c>
    </row>
    <row r="69" spans="1:10" ht="12.75">
      <c r="A69" s="5" t="s">
        <v>1135</v>
      </c>
      <c r="B69" s="211">
        <f>(($B$7*($O$4/100)*$B$3))/F6</f>
        <v>3.739</v>
      </c>
      <c r="C69" s="211">
        <f>(1*$F$9)</f>
        <v>3.08</v>
      </c>
      <c r="D69" s="211">
        <f>(C69*B69)*1000</f>
        <v>11516.119999999999</v>
      </c>
      <c r="E69" s="232">
        <f>(1*'Eco indicator Points'!$B$6)</f>
        <v>86</v>
      </c>
      <c r="F69" s="211">
        <f>(E69*D69)/1000</f>
        <v>990.38632</v>
      </c>
      <c r="G69" s="232">
        <f>(1*'Eco indicator Points'!$B$4)</f>
        <v>94</v>
      </c>
      <c r="H69" s="211">
        <f>(G69*D69)/1000</f>
        <v>1082.5152799999998</v>
      </c>
      <c r="I69" s="232">
        <f>(1*'Eco indicator Points'!$B$8)</f>
        <v>110</v>
      </c>
      <c r="J69" s="211">
        <f>(I69*D69)/1000</f>
        <v>1266.7731999999999</v>
      </c>
    </row>
    <row r="70" spans="1:10" ht="25.5">
      <c r="A70" s="5" t="s">
        <v>1136</v>
      </c>
      <c r="B70" s="217">
        <f>(B68/10)</f>
        <v>0.2412258064516129</v>
      </c>
      <c r="C70" s="211">
        <f>(1*$F$9)</f>
        <v>3.08</v>
      </c>
      <c r="D70" s="211">
        <f>(C70*B70)*1000</f>
        <v>742.9754838709678</v>
      </c>
      <c r="E70" s="232">
        <f>(1*'Eco indicator Points'!$B$6)</f>
        <v>86</v>
      </c>
      <c r="F70" s="211">
        <f>(E70*D70)/1000</f>
        <v>63.89589161290323</v>
      </c>
      <c r="G70" s="232">
        <f>(1*'Eco indicator Points'!$B$4)</f>
        <v>94</v>
      </c>
      <c r="H70" s="211">
        <f>(G70*D70)/1000</f>
        <v>69.83969548387097</v>
      </c>
      <c r="I70" s="232">
        <f>(1*'Eco indicator Points'!$B$8)</f>
        <v>110</v>
      </c>
      <c r="J70" s="211">
        <f>(I70*D70)/1000</f>
        <v>81.72730322580645</v>
      </c>
    </row>
    <row r="71" spans="1:10" ht="25.5">
      <c r="A71" s="5" t="s">
        <v>1137</v>
      </c>
      <c r="B71" s="217">
        <f>(B69/10)</f>
        <v>0.3739</v>
      </c>
      <c r="C71" s="211">
        <f>(1*$F$9)</f>
        <v>3.08</v>
      </c>
      <c r="D71" s="211">
        <f>(C71*B71)*1000</f>
        <v>1151.612</v>
      </c>
      <c r="E71" s="232">
        <f>(1*'Eco indicator Points'!$B$6)</f>
        <v>86</v>
      </c>
      <c r="F71" s="211">
        <f>(E71*D71)/1000</f>
        <v>99.038632</v>
      </c>
      <c r="G71" s="232">
        <f>(1*'Eco indicator Points'!$B$4)</f>
        <v>94</v>
      </c>
      <c r="H71" s="211">
        <f>(G71*D71)/1000</f>
        <v>108.25152800000001</v>
      </c>
      <c r="I71" s="232">
        <f>(1*'Eco indicator Points'!$B$8)</f>
        <v>110</v>
      </c>
      <c r="J71" s="211">
        <f>(I71*D71)/1000</f>
        <v>126.67732000000001</v>
      </c>
    </row>
    <row r="72" spans="1:7" ht="38.25">
      <c r="A72" s="4" t="s">
        <v>1154</v>
      </c>
      <c r="B72" s="4" t="s">
        <v>1010</v>
      </c>
      <c r="C72" s="4" t="s">
        <v>1409</v>
      </c>
      <c r="D72" s="4" t="s">
        <v>1016</v>
      </c>
      <c r="E72" s="4" t="s">
        <v>1412</v>
      </c>
      <c r="F72" s="4" t="s">
        <v>1022</v>
      </c>
      <c r="G72" s="4" t="s">
        <v>1021</v>
      </c>
    </row>
    <row r="73" spans="1:7" ht="38.25">
      <c r="A73" s="5" t="s">
        <v>1139</v>
      </c>
      <c r="B73" s="217">
        <f>(B68*C68)</f>
        <v>7.429754838709677</v>
      </c>
      <c r="C73" s="217">
        <f>(L4+L5)</f>
        <v>292.9153088</v>
      </c>
      <c r="D73" s="212">
        <v>1</v>
      </c>
      <c r="E73" s="211">
        <f>(D73*C73*B73)</f>
        <v>2176.288932888939</v>
      </c>
      <c r="F73" s="233">
        <f>(1*'Eco indicator Points'!$B$70)</f>
        <v>22</v>
      </c>
      <c r="G73" s="217">
        <f>(F73*E73)/1000</f>
        <v>47.87835652355666</v>
      </c>
    </row>
    <row r="74" spans="1:7" ht="38.25">
      <c r="A74" s="5" t="s">
        <v>1283</v>
      </c>
      <c r="B74" s="217">
        <f>(B69*C69)</f>
        <v>11.516119999999999</v>
      </c>
      <c r="C74" s="217">
        <f>(L4+L5)</f>
        <v>292.9153088</v>
      </c>
      <c r="D74" s="212">
        <v>1</v>
      </c>
      <c r="E74" s="211">
        <f>(D74*C74*B74)</f>
        <v>3373.247845977856</v>
      </c>
      <c r="F74" s="233">
        <f>(1*'Eco indicator Points'!$B$70)</f>
        <v>22</v>
      </c>
      <c r="G74" s="217">
        <f>(F74*E74)/1000</f>
        <v>74.21145261151283</v>
      </c>
    </row>
    <row r="75" spans="1:7" ht="38.25">
      <c r="A75" s="4" t="s">
        <v>1154</v>
      </c>
      <c r="B75" s="4" t="s">
        <v>1010</v>
      </c>
      <c r="C75" s="4" t="s">
        <v>1409</v>
      </c>
      <c r="D75" s="4" t="s">
        <v>1016</v>
      </c>
      <c r="E75" s="4" t="s">
        <v>1412</v>
      </c>
      <c r="F75" s="4" t="s">
        <v>1022</v>
      </c>
      <c r="G75" s="4" t="s">
        <v>1021</v>
      </c>
    </row>
    <row r="76" spans="1:7" ht="25.5">
      <c r="A76" s="5" t="s">
        <v>1284</v>
      </c>
      <c r="B76" s="211">
        <f>(B3*B4)</f>
        <v>760</v>
      </c>
      <c r="C76" s="211">
        <f>(1*L5)</f>
        <v>16.4153088</v>
      </c>
      <c r="D76" s="211">
        <f>(B4/B9)</f>
        <v>6.785714285714286</v>
      </c>
      <c r="E76" s="211">
        <f>(D76*C76*B76)</f>
        <v>84656.09252571427</v>
      </c>
      <c r="F76" s="233">
        <f>(1*'Eco indicator Points'!$B$70)</f>
        <v>22</v>
      </c>
      <c r="G76" s="211">
        <f>(F76*E76)/1000</f>
        <v>1862.4340355657139</v>
      </c>
    </row>
    <row r="77" spans="1:7" ht="25.5">
      <c r="A77" s="5" t="s">
        <v>1285</v>
      </c>
      <c r="B77" s="211">
        <f>(B3*B8)</f>
        <v>1256</v>
      </c>
      <c r="C77" s="211">
        <f>(1*L5)</f>
        <v>16.4153088</v>
      </c>
      <c r="D77" s="211">
        <f>(B4/B9)</f>
        <v>6.785714285714286</v>
      </c>
      <c r="E77" s="211">
        <f>(D77*C77*B77)</f>
        <v>139905.3318582857</v>
      </c>
      <c r="F77" s="233">
        <f>(1*'Eco indicator Points'!$B$70)</f>
        <v>22</v>
      </c>
      <c r="G77" s="211">
        <f>(F77*E77)/1000</f>
        <v>3077.9173008822854</v>
      </c>
    </row>
    <row r="78" spans="1:7" ht="38.25">
      <c r="A78" s="4" t="s">
        <v>1154</v>
      </c>
      <c r="B78" s="4" t="s">
        <v>1010</v>
      </c>
      <c r="C78" s="4" t="s">
        <v>1409</v>
      </c>
      <c r="D78" s="4" t="s">
        <v>1016</v>
      </c>
      <c r="E78" s="4" t="s">
        <v>1412</v>
      </c>
      <c r="F78" s="4" t="s">
        <v>1022</v>
      </c>
      <c r="G78" s="4" t="s">
        <v>1021</v>
      </c>
    </row>
    <row r="79" spans="1:7" ht="38.25">
      <c r="A79" s="5" t="s">
        <v>1286</v>
      </c>
      <c r="B79" s="211">
        <f>(B3*B4)+(B68*C68)</f>
        <v>767.4297548387096</v>
      </c>
      <c r="C79" s="211">
        <f>(1*L6)</f>
        <v>2764.0483200000003</v>
      </c>
      <c r="D79" s="211">
        <v>1</v>
      </c>
      <c r="E79" s="211">
        <f>(D79*C79*B79)</f>
        <v>2121212.9245799477</v>
      </c>
      <c r="F79" s="232">
        <f>(1*'Eco indicator Points'!$B$73)</f>
        <v>5.1</v>
      </c>
      <c r="G79" s="211">
        <f>(F79*E79)/1000</f>
        <v>10818.185915357733</v>
      </c>
    </row>
    <row r="80" spans="1:7" ht="51">
      <c r="A80" s="5" t="s">
        <v>1287</v>
      </c>
      <c r="B80" s="211">
        <f>(B3*B8)+(B69*C69)</f>
        <v>1267.51612</v>
      </c>
      <c r="C80" s="211">
        <f>(1*L6)</f>
        <v>2764.0483200000003</v>
      </c>
      <c r="D80" s="211">
        <v>1</v>
      </c>
      <c r="E80" s="211">
        <f>(D80*C80*B80)</f>
        <v>3503475.802058919</v>
      </c>
      <c r="F80" s="232">
        <f>(1*'Eco indicator Points'!$B$73)</f>
        <v>5.1</v>
      </c>
      <c r="G80" s="211">
        <f>(F80*E80)/1000</f>
        <v>17867.726590500486</v>
      </c>
    </row>
    <row r="81" ht="12.75">
      <c r="A81" s="4" t="s">
        <v>1380</v>
      </c>
    </row>
    <row r="82" spans="1:7" ht="51">
      <c r="A82" s="223" t="s">
        <v>1154</v>
      </c>
      <c r="B82" s="223" t="s">
        <v>1020</v>
      </c>
      <c r="C82" s="223" t="s">
        <v>1289</v>
      </c>
      <c r="D82" s="223" t="s">
        <v>1290</v>
      </c>
      <c r="E82" s="223" t="s">
        <v>1291</v>
      </c>
      <c r="F82" s="223" t="s">
        <v>1292</v>
      </c>
      <c r="G82" s="5"/>
    </row>
    <row r="83" spans="1:7" ht="25.5">
      <c r="A83" s="34" t="s">
        <v>1288</v>
      </c>
      <c r="B83" s="34">
        <f>(O3/100)*(B3*B4)*1000</f>
        <v>722000</v>
      </c>
      <c r="C83" s="234">
        <f>(-1*'Eco indicator Points'!B4)</f>
        <v>-94</v>
      </c>
      <c r="D83" s="234">
        <f>(1*'Eco indicator Points'!B5)</f>
        <v>24</v>
      </c>
      <c r="E83" s="34">
        <f>(D83+C83)</f>
        <v>-70</v>
      </c>
      <c r="F83" s="34">
        <f>(E83*B83)/1000</f>
        <v>-50540</v>
      </c>
      <c r="G83" s="5"/>
    </row>
    <row r="84" spans="1:9" ht="38.25">
      <c r="A84" s="226" t="s">
        <v>1154</v>
      </c>
      <c r="B84" s="224" t="s">
        <v>1316</v>
      </c>
      <c r="C84" s="224" t="s">
        <v>1317</v>
      </c>
      <c r="D84" s="225" t="s">
        <v>1318</v>
      </c>
      <c r="E84" s="225" t="s">
        <v>1319</v>
      </c>
      <c r="F84" s="226" t="s">
        <v>1320</v>
      </c>
      <c r="G84" s="227" t="s">
        <v>1162</v>
      </c>
      <c r="H84" s="4" t="s">
        <v>1163</v>
      </c>
      <c r="I84" s="227" t="s">
        <v>126</v>
      </c>
    </row>
    <row r="85" spans="1:9" ht="12.75">
      <c r="A85" s="228" t="s">
        <v>1158</v>
      </c>
      <c r="B85" s="229">
        <f>(B3*B4)/O5</f>
        <v>217.14285714285714</v>
      </c>
      <c r="C85" s="229">
        <f>($O$5*1000)</f>
        <v>3500</v>
      </c>
      <c r="D85" s="229">
        <f>(C85/$O$6)</f>
        <v>7716.179176470715</v>
      </c>
      <c r="E85" s="229">
        <f>(1*$O$7)</f>
        <v>2427.7777777777774</v>
      </c>
      <c r="F85" s="229">
        <f>(E85*B85)</f>
        <v>527174.6031746031</v>
      </c>
      <c r="G85" s="235">
        <f>('Eco indicator Points'!$B$65)</f>
        <v>22</v>
      </c>
      <c r="H85" s="3">
        <f>(F85*G85/1000)</f>
        <v>11597.841269841269</v>
      </c>
      <c r="I85" s="230" t="s">
        <v>1321</v>
      </c>
    </row>
    <row r="86" spans="1:9" ht="12.75">
      <c r="A86" s="228" t="s">
        <v>1159</v>
      </c>
      <c r="B86" s="229">
        <f>(B85*O3/100)</f>
        <v>206.28571428571428</v>
      </c>
      <c r="C86" s="229">
        <f>($O$5*1000)</f>
        <v>3500</v>
      </c>
      <c r="D86" s="229">
        <f>(C86/$O$6)</f>
        <v>7716.179176470715</v>
      </c>
      <c r="E86" s="229">
        <f>(1*$O$7)</f>
        <v>2427.7777777777774</v>
      </c>
      <c r="F86" s="229">
        <f>(E86*B86)</f>
        <v>500815.8730158729</v>
      </c>
      <c r="G86" s="235">
        <f>('Eco indicator Points'!$B$65)</f>
        <v>22</v>
      </c>
      <c r="H86" s="3">
        <f>(F86*G86/1000)</f>
        <v>11017.949206349203</v>
      </c>
      <c r="I86" s="230" t="s">
        <v>1321</v>
      </c>
    </row>
    <row r="87" spans="1:4" ht="51">
      <c r="A87" s="4" t="s">
        <v>1154</v>
      </c>
      <c r="B87" s="4" t="s">
        <v>1142</v>
      </c>
      <c r="C87" s="4" t="s">
        <v>1145</v>
      </c>
      <c r="D87" s="4" t="s">
        <v>1146</v>
      </c>
    </row>
    <row r="88" spans="1:4" ht="12.75">
      <c r="A88" s="5" t="s">
        <v>1143</v>
      </c>
      <c r="B88" s="211">
        <v>3025</v>
      </c>
      <c r="C88" s="232">
        <f>(1*'Eco indicator Points'!$B$23)</f>
        <v>800</v>
      </c>
      <c r="D88" s="211">
        <f>(C88*B88)/1000</f>
        <v>2420</v>
      </c>
    </row>
    <row r="89" spans="1:4" ht="12.75">
      <c r="A89" s="5" t="s">
        <v>1144</v>
      </c>
      <c r="B89" s="211">
        <v>984</v>
      </c>
      <c r="C89" s="232">
        <f>(1*'Eco indicator Points'!$B$23)</f>
        <v>800</v>
      </c>
      <c r="D89" s="211">
        <f>(C89*B89)/1000</f>
        <v>787.2</v>
      </c>
    </row>
    <row r="90" ht="25.5">
      <c r="A90" s="4" t="s">
        <v>1164</v>
      </c>
    </row>
    <row r="91" spans="1:4" ht="25.5">
      <c r="A91" s="4" t="s">
        <v>1154</v>
      </c>
      <c r="B91" s="4" t="s">
        <v>1020</v>
      </c>
      <c r="C91" s="4" t="s">
        <v>1017</v>
      </c>
      <c r="D91" s="4" t="s">
        <v>1166</v>
      </c>
    </row>
    <row r="92" spans="1:4" ht="12.75">
      <c r="A92" s="5" t="s">
        <v>1165</v>
      </c>
      <c r="B92" s="211">
        <f>($B$64-$B$83)</f>
        <v>38000</v>
      </c>
      <c r="C92" s="232">
        <f>(1*'Eco indicator Points'!B6)</f>
        <v>86</v>
      </c>
      <c r="D92" s="211">
        <f>(C92*B92)/1000</f>
        <v>3268</v>
      </c>
    </row>
    <row r="93" spans="1:4" ht="25.5">
      <c r="A93" s="4" t="s">
        <v>1154</v>
      </c>
      <c r="B93" s="4" t="s">
        <v>1020</v>
      </c>
      <c r="C93" s="4" t="s">
        <v>1168</v>
      </c>
      <c r="D93" s="4" t="s">
        <v>1166</v>
      </c>
    </row>
    <row r="94" spans="1:4" ht="12.75">
      <c r="A94" s="5" t="s">
        <v>1167</v>
      </c>
      <c r="B94" s="211">
        <f>($B$64-$B$83)</f>
        <v>38000</v>
      </c>
      <c r="C94" s="232">
        <f>(1*'Eco indicator Points'!B24)</f>
        <v>23</v>
      </c>
      <c r="D94" s="211">
        <f>(C94*B94)/1000</f>
        <v>874</v>
      </c>
    </row>
    <row r="95" spans="1:7" ht="38.25">
      <c r="A95" s="4" t="s">
        <v>1154</v>
      </c>
      <c r="B95" s="4" t="s">
        <v>1010</v>
      </c>
      <c r="C95" s="4" t="s">
        <v>1409</v>
      </c>
      <c r="D95" s="4" t="s">
        <v>1016</v>
      </c>
      <c r="E95" s="4" t="s">
        <v>1412</v>
      </c>
      <c r="F95" s="4" t="s">
        <v>1022</v>
      </c>
      <c r="G95" s="4" t="s">
        <v>1021</v>
      </c>
    </row>
    <row r="96" spans="1:7" ht="40.5" customHeight="1">
      <c r="A96" s="5" t="s">
        <v>1169</v>
      </c>
      <c r="B96" s="217">
        <f>(B68*C68)+(B92/1000)</f>
        <v>45.42975483870968</v>
      </c>
      <c r="C96" s="217">
        <f>(1*L7)</f>
        <v>102.17725056</v>
      </c>
      <c r="D96" s="212">
        <v>1</v>
      </c>
      <c r="E96" s="211">
        <f aca="true" t="shared" si="1" ref="E96:E101">(D96*C96*B96)</f>
        <v>4641.887443034211</v>
      </c>
      <c r="F96" s="236">
        <f>('Eco indicator Points'!$B$65)</f>
        <v>22</v>
      </c>
      <c r="G96" s="217">
        <f aca="true" t="shared" si="2" ref="G96:G101">(F96*E96)/1000</f>
        <v>102.12152374675264</v>
      </c>
    </row>
    <row r="97" spans="1:7" ht="39.75" customHeight="1">
      <c r="A97" s="5" t="s">
        <v>1170</v>
      </c>
      <c r="B97" s="217">
        <f>(B69*C69)+(B92/1000)</f>
        <v>49.51612</v>
      </c>
      <c r="C97" s="217">
        <f>(1*L7)</f>
        <v>102.17725056</v>
      </c>
      <c r="D97" s="212">
        <v>1</v>
      </c>
      <c r="E97" s="211">
        <f t="shared" si="1"/>
        <v>5059.420999999027</v>
      </c>
      <c r="F97" s="236">
        <f>('Eco indicator Points'!$B$65)</f>
        <v>22</v>
      </c>
      <c r="G97" s="217">
        <f t="shared" si="2"/>
        <v>111.30726199997859</v>
      </c>
    </row>
    <row r="98" spans="1:7" ht="38.25">
      <c r="A98" s="5" t="s">
        <v>1171</v>
      </c>
      <c r="B98" s="217">
        <f>(1*B96)</f>
        <v>45.42975483870968</v>
      </c>
      <c r="C98" s="217">
        <f>(1*L8)</f>
        <v>1749.3569280000002</v>
      </c>
      <c r="D98" s="212">
        <v>1</v>
      </c>
      <c r="E98" s="211">
        <f t="shared" si="1"/>
        <v>79472.8563644383</v>
      </c>
      <c r="F98" s="232">
        <f>(1*'Eco indicator Points'!$B$73)</f>
        <v>5.1</v>
      </c>
      <c r="G98" s="217">
        <f t="shared" si="2"/>
        <v>405.31156745863524</v>
      </c>
    </row>
    <row r="99" spans="1:7" ht="38.25">
      <c r="A99" s="5" t="s">
        <v>1172</v>
      </c>
      <c r="B99" s="217">
        <f>(1*B97)</f>
        <v>49.51612</v>
      </c>
      <c r="C99" s="217">
        <f>(1*L8)</f>
        <v>1749.3569280000002</v>
      </c>
      <c r="D99" s="212">
        <v>1</v>
      </c>
      <c r="E99" s="211">
        <f t="shared" si="1"/>
        <v>86621.36756967937</v>
      </c>
      <c r="F99" s="232">
        <f>(1*'Eco indicator Points'!$B$73)</f>
        <v>5.1</v>
      </c>
      <c r="G99" s="217">
        <f t="shared" si="2"/>
        <v>441.76897460536475</v>
      </c>
    </row>
    <row r="100" spans="1:7" ht="38.25">
      <c r="A100" s="5" t="s">
        <v>1173</v>
      </c>
      <c r="B100" s="217">
        <f>(1*B96)</f>
        <v>45.42975483870968</v>
      </c>
      <c r="C100" s="217">
        <f>(1*L9)</f>
        <v>334.2607488</v>
      </c>
      <c r="D100" s="212">
        <v>1</v>
      </c>
      <c r="E100" s="211">
        <f t="shared" si="1"/>
        <v>15185.38387018752</v>
      </c>
      <c r="F100" s="236">
        <f>('Eco indicator Points'!$B$65)</f>
        <v>22</v>
      </c>
      <c r="G100" s="217">
        <f t="shared" si="2"/>
        <v>334.07844514412545</v>
      </c>
    </row>
    <row r="101" spans="1:7" ht="38.25">
      <c r="A101" s="5" t="s">
        <v>1174</v>
      </c>
      <c r="B101" s="217">
        <f>(1*B97)</f>
        <v>49.51612</v>
      </c>
      <c r="C101" s="217">
        <f>(1*L9)</f>
        <v>334.2607488</v>
      </c>
      <c r="D101" s="212">
        <v>1</v>
      </c>
      <c r="E101" s="211">
        <f t="shared" si="1"/>
        <v>16551.295348870655</v>
      </c>
      <c r="F101" s="236">
        <f>('Eco indicator Points'!$B$65)</f>
        <v>22</v>
      </c>
      <c r="G101" s="217">
        <f t="shared" si="2"/>
        <v>364.1284976751544</v>
      </c>
    </row>
    <row r="102" spans="1:8" ht="51">
      <c r="A102" s="4" t="s">
        <v>440</v>
      </c>
      <c r="B102" s="4" t="s">
        <v>1147</v>
      </c>
      <c r="C102" s="4" t="s">
        <v>1148</v>
      </c>
      <c r="D102" s="4" t="s">
        <v>1149</v>
      </c>
      <c r="E102" s="4" t="s">
        <v>1150</v>
      </c>
      <c r="F102" s="4" t="s">
        <v>1227</v>
      </c>
      <c r="G102" s="4" t="s">
        <v>1151</v>
      </c>
      <c r="H102" s="4" t="s">
        <v>1152</v>
      </c>
    </row>
    <row r="103" spans="1:8" ht="12.75">
      <c r="A103" s="5" t="s">
        <v>998</v>
      </c>
      <c r="B103" s="217">
        <f>(F4-F5)</f>
        <v>2.3999999999999986</v>
      </c>
      <c r="C103" s="211">
        <f>(1*B68)</f>
        <v>2.412258064516129</v>
      </c>
      <c r="D103" s="217">
        <f>(C103*B103)</f>
        <v>5.789419354838706</v>
      </c>
      <c r="E103" s="212">
        <f>(1*I3)</f>
        <v>1800</v>
      </c>
      <c r="F103" s="217">
        <f>(E103*D103)</f>
        <v>10420.95483870967</v>
      </c>
      <c r="G103" s="233">
        <f>(1*'Eco indicator Points'!$B$58)</f>
        <v>20</v>
      </c>
      <c r="H103" s="211">
        <f>(G103*F103)/1000</f>
        <v>208.4190967741934</v>
      </c>
    </row>
    <row r="104" spans="1:8" ht="12.75">
      <c r="A104" s="5" t="s">
        <v>999</v>
      </c>
      <c r="B104" s="217">
        <f>(F4-F6)</f>
        <v>7.899999999999999</v>
      </c>
      <c r="C104" s="211">
        <f>(1*B69)</f>
        <v>3.739</v>
      </c>
      <c r="D104" s="217">
        <f>(C104*B104)</f>
        <v>29.538099999999993</v>
      </c>
      <c r="E104" s="212">
        <f>(1*I3)</f>
        <v>1800</v>
      </c>
      <c r="F104" s="217">
        <f>(E104*D104)</f>
        <v>53168.57999999999</v>
      </c>
      <c r="G104" s="233">
        <f>(1*'Eco indicator Points'!$B$58)</f>
        <v>20</v>
      </c>
      <c r="H104" s="211">
        <f>(G104*F104)/1000</f>
        <v>1063.3715999999997</v>
      </c>
    </row>
    <row r="105" spans="1:4" ht="38.25">
      <c r="A105" s="4" t="s">
        <v>1154</v>
      </c>
      <c r="B105" s="4" t="s">
        <v>1148</v>
      </c>
      <c r="C105" s="4" t="s">
        <v>1177</v>
      </c>
      <c r="D105" s="4" t="s">
        <v>1178</v>
      </c>
    </row>
    <row r="106" spans="1:4" ht="12.75">
      <c r="A106" s="5" t="s">
        <v>1175</v>
      </c>
      <c r="B106" s="3">
        <f>(1*B68)</f>
        <v>2.412258064516129</v>
      </c>
      <c r="C106">
        <f>(1*F3)</f>
        <v>19.5</v>
      </c>
      <c r="D106" s="3">
        <f>(C106*B106)</f>
        <v>47.039032258064516</v>
      </c>
    </row>
    <row r="107" spans="1:4" ht="12.75">
      <c r="A107" s="5" t="s">
        <v>1176</v>
      </c>
      <c r="B107" s="3">
        <f>(1*B69)</f>
        <v>3.739</v>
      </c>
      <c r="C107">
        <f>(1*F3)</f>
        <v>19.5</v>
      </c>
      <c r="D107" s="3">
        <f>(C107*B107)</f>
        <v>72.9105</v>
      </c>
    </row>
    <row r="108" spans="1:6" ht="38.25">
      <c r="A108" s="27" t="s">
        <v>440</v>
      </c>
      <c r="B108" s="27" t="s">
        <v>1010</v>
      </c>
      <c r="C108" s="27" t="s">
        <v>1020</v>
      </c>
      <c r="D108" s="27" t="s">
        <v>12</v>
      </c>
      <c r="E108" s="27" t="s">
        <v>13</v>
      </c>
      <c r="F108" s="212"/>
    </row>
    <row r="109" spans="1:6" ht="25.5">
      <c r="A109" s="241" t="s">
        <v>14</v>
      </c>
      <c r="B109" s="242">
        <f>(1*B96)</f>
        <v>45.42975483870968</v>
      </c>
      <c r="C109" s="243">
        <f>(B109*1000)</f>
        <v>45429.754838709676</v>
      </c>
      <c r="D109" s="27">
        <f>(1*'Eco indicator Points'!B83)</f>
        <v>1.4</v>
      </c>
      <c r="E109" s="243">
        <f>(D109*C109)/1000</f>
        <v>63.60165677419354</v>
      </c>
      <c r="F109" s="7" t="s">
        <v>10</v>
      </c>
    </row>
    <row r="110" spans="1:6" ht="12.75">
      <c r="A110" s="241" t="s">
        <v>15</v>
      </c>
      <c r="B110" s="242">
        <f>(1*B97)</f>
        <v>49.51612</v>
      </c>
      <c r="C110" s="243">
        <f>(B110*1000)</f>
        <v>49516.12</v>
      </c>
      <c r="D110" s="27">
        <f>(1*'Eco indicator Points'!B83)</f>
        <v>1.4</v>
      </c>
      <c r="E110" s="243">
        <f>(D110*C110)/1000</f>
        <v>69.322568</v>
      </c>
      <c r="F110" s="212"/>
    </row>
    <row r="111" spans="1:8" ht="63.75">
      <c r="A111" s="4" t="s">
        <v>1000</v>
      </c>
      <c r="B111" s="218" t="s">
        <v>1179</v>
      </c>
      <c r="C111" s="218" t="s">
        <v>1180</v>
      </c>
      <c r="D111" s="4" t="s">
        <v>1181</v>
      </c>
      <c r="E111" s="4" t="s">
        <v>1182</v>
      </c>
      <c r="F111" s="4" t="s">
        <v>1298</v>
      </c>
      <c r="G111" s="4" t="s">
        <v>1299</v>
      </c>
      <c r="H111" s="7" t="s">
        <v>11</v>
      </c>
    </row>
    <row r="112" spans="1:7" ht="12.75">
      <c r="A112" s="7" t="s">
        <v>185</v>
      </c>
      <c r="B112" s="245">
        <f>(D64+F66+F68+F70+G73+G76+G79+F83+H86+D88+D89+D92+D94+G96+G98+G100+H103+E109)</f>
        <v>49325.634611436064</v>
      </c>
      <c r="C112" s="246">
        <f>(B112/1000)</f>
        <v>49.325634611436065</v>
      </c>
      <c r="D112" s="245">
        <f>(D64+F66+F69+F71+G74+G77+G80+F83+H85+D88+D89+D92+D94+G97+G99+G101+H104+E110)</f>
        <v>59519.82046811607</v>
      </c>
      <c r="E112" s="246">
        <f>(D112/1000)</f>
        <v>59.51982046811607</v>
      </c>
      <c r="F112" s="244">
        <f>(E112-C112)</f>
        <v>10.194185856680008</v>
      </c>
      <c r="G112" s="244">
        <f>(F112/C112)*100</f>
        <v>20.667115460317873</v>
      </c>
    </row>
    <row r="113" spans="1:7" ht="12.75">
      <c r="A113" s="7" t="s">
        <v>445</v>
      </c>
      <c r="B113" s="239">
        <f>(F64+F66+H68+H70+G73+G76+G79+F83+H86+D88+D89+D92+D94+G96+G98+G100+H103+E109)</f>
        <v>55471.0164540167</v>
      </c>
      <c r="C113" s="240">
        <f>(B113/1000)</f>
        <v>55.471016454016706</v>
      </c>
      <c r="D113" s="239">
        <f>(F64+F66+H69+H71+G74+G77+G80+F83+H85+D88+D89+D92+D94+G97+G99+G101+H104+E110)</f>
        <v>65701.16232411607</v>
      </c>
      <c r="E113" s="240">
        <f>(D113/1000)</f>
        <v>65.70116232411607</v>
      </c>
      <c r="F113" s="244">
        <f>(E113-C113)</f>
        <v>10.230145870099363</v>
      </c>
      <c r="G113" s="244">
        <f>(F113/C113)*100</f>
        <v>18.44232632473889</v>
      </c>
    </row>
    <row r="114" spans="1:7" ht="12.75">
      <c r="A114" s="7" t="s">
        <v>1023</v>
      </c>
      <c r="B114" s="239">
        <f>(H64+F66+J68+J70+G73+G76+G79+F83+H86+D88+D89+D92+D94+G96+G98+G100+H103+E109)</f>
        <v>67761.78013917798</v>
      </c>
      <c r="C114" s="240">
        <f>(B114/1000)</f>
        <v>67.76178013917799</v>
      </c>
      <c r="D114" s="239">
        <f>(H64+F66+J69+J71+G74+G77+G80+F83+H85+D88+D89+D92+D94+G97+G99+G101+H104+E110)</f>
        <v>78063.84603611605</v>
      </c>
      <c r="E114" s="240">
        <f>(D114/1000)</f>
        <v>78.06384603611606</v>
      </c>
      <c r="F114" s="244">
        <f>(E114-C114)</f>
        <v>10.302065896938075</v>
      </c>
      <c r="G114" s="244">
        <f>(F114/C114)*100</f>
        <v>15.20335781583416</v>
      </c>
    </row>
    <row r="118" ht="12.75">
      <c r="A118" s="1" t="s">
        <v>1370</v>
      </c>
    </row>
    <row r="119" ht="12.75">
      <c r="A119" t="s">
        <v>1293</v>
      </c>
    </row>
    <row r="120" ht="12.75">
      <c r="A120" t="s">
        <v>1296</v>
      </c>
    </row>
    <row r="121" ht="12.75">
      <c r="A121" t="s">
        <v>557</v>
      </c>
    </row>
    <row r="122" ht="12.75">
      <c r="A122" t="s">
        <v>499</v>
      </c>
    </row>
    <row r="123" ht="12.75">
      <c r="A123" t="s">
        <v>505</v>
      </c>
    </row>
  </sheetData>
  <sheetProtection/>
  <printOptions/>
  <pageMargins left="0.75" right="0.75" top="1" bottom="1" header="0.5" footer="0.5"/>
  <pageSetup horizontalDpi="600" verticalDpi="600" orientation="landscape" paperSize="9" scale="66"/>
  <rowBreaks count="3" manualBreakCount="3">
    <brk id="28" max="255" man="1"/>
    <brk id="43" max="255" man="1"/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70">
      <selection activeCell="J85" sqref="J84:J85"/>
    </sheetView>
  </sheetViews>
  <sheetFormatPr defaultColWidth="8.8515625" defaultRowHeight="12.75"/>
  <cols>
    <col min="1" max="1" width="27.140625" style="0" customWidth="1"/>
    <col min="2" max="2" width="14.8515625" style="0" customWidth="1"/>
    <col min="3" max="3" width="12.28125" style="0" customWidth="1"/>
    <col min="4" max="4" width="16.7109375" style="0" customWidth="1"/>
    <col min="5" max="5" width="13.140625" style="0" customWidth="1"/>
    <col min="6" max="6" width="14.28125" style="0" customWidth="1"/>
    <col min="7" max="7" width="13.140625" style="0" customWidth="1"/>
    <col min="8" max="8" width="14.421875" style="0" customWidth="1"/>
  </cols>
  <sheetData>
    <row r="1" spans="1:6" ht="18">
      <c r="A1" s="75" t="s">
        <v>1346</v>
      </c>
      <c r="B1" s="55"/>
      <c r="C1" s="55"/>
      <c r="D1" s="43"/>
      <c r="E1" s="43"/>
      <c r="F1" s="43"/>
    </row>
    <row r="2" spans="1:6" ht="25.5" customHeight="1">
      <c r="A2" s="44" t="s">
        <v>155</v>
      </c>
      <c r="B2" s="44" t="s">
        <v>523</v>
      </c>
      <c r="C2" s="44" t="s">
        <v>157</v>
      </c>
      <c r="D2" s="44" t="s">
        <v>491</v>
      </c>
      <c r="E2" s="43"/>
      <c r="F2" s="43"/>
    </row>
    <row r="3" spans="1:6" ht="12.75">
      <c r="A3" s="43" t="s">
        <v>149</v>
      </c>
      <c r="B3" s="43">
        <v>40000</v>
      </c>
      <c r="C3" s="43">
        <v>120000</v>
      </c>
      <c r="D3" s="43">
        <f aca="true" t="shared" si="0" ref="D3:D8">($B$18*C3)</f>
        <v>0</v>
      </c>
      <c r="E3" s="43"/>
      <c r="F3" s="43"/>
    </row>
    <row r="4" spans="1:6" ht="12.75">
      <c r="A4" s="43" t="s">
        <v>150</v>
      </c>
      <c r="B4" s="43">
        <v>49000</v>
      </c>
      <c r="C4" s="43">
        <v>430000</v>
      </c>
      <c r="D4" s="43">
        <f t="shared" si="0"/>
        <v>0</v>
      </c>
      <c r="E4" s="43"/>
      <c r="F4" s="43"/>
    </row>
    <row r="5" spans="1:6" ht="12.75">
      <c r="A5" s="43" t="s">
        <v>151</v>
      </c>
      <c r="B5" s="43">
        <v>7300</v>
      </c>
      <c r="C5" s="43">
        <v>110</v>
      </c>
      <c r="D5" s="43">
        <f t="shared" si="0"/>
        <v>0</v>
      </c>
      <c r="E5" s="43"/>
      <c r="F5" s="43"/>
    </row>
    <row r="6" spans="1:6" ht="12.75">
      <c r="A6" s="43" t="s">
        <v>152</v>
      </c>
      <c r="B6" s="43">
        <v>1200</v>
      </c>
      <c r="C6" s="43">
        <v>17000</v>
      </c>
      <c r="D6" s="43">
        <f t="shared" si="0"/>
        <v>0</v>
      </c>
      <c r="E6" s="43"/>
      <c r="F6" s="43"/>
    </row>
    <row r="7" spans="1:6" ht="12.75">
      <c r="A7" s="43" t="s">
        <v>153</v>
      </c>
      <c r="B7" s="43">
        <v>1400</v>
      </c>
      <c r="C7" s="43">
        <v>25</v>
      </c>
      <c r="D7" s="43">
        <f t="shared" si="0"/>
        <v>0</v>
      </c>
      <c r="E7" s="43"/>
      <c r="F7" s="43"/>
    </row>
    <row r="8" spans="1:6" ht="12.75">
      <c r="A8" s="43" t="s">
        <v>154</v>
      </c>
      <c r="B8" s="43">
        <v>3100</v>
      </c>
      <c r="C8" s="43">
        <v>210000</v>
      </c>
      <c r="D8" s="43">
        <f t="shared" si="0"/>
        <v>0</v>
      </c>
      <c r="E8" s="43"/>
      <c r="F8" s="43"/>
    </row>
    <row r="9" spans="1:6" ht="12.75">
      <c r="A9" s="42" t="s">
        <v>48</v>
      </c>
      <c r="B9" s="42">
        <f>SUM(B3:B8)</f>
        <v>102000</v>
      </c>
      <c r="C9" s="42">
        <f>SUM(C3:C8)</f>
        <v>777135</v>
      </c>
      <c r="D9" s="42">
        <f>SUM(D3:D8)</f>
        <v>0</v>
      </c>
      <c r="E9" s="43"/>
      <c r="F9" s="43"/>
    </row>
    <row r="10" spans="1:6" ht="12.75">
      <c r="A10" s="42" t="s">
        <v>289</v>
      </c>
      <c r="B10" s="42">
        <v>287000</v>
      </c>
      <c r="C10" s="42">
        <v>4430000</v>
      </c>
      <c r="D10" s="42">
        <v>0</v>
      </c>
      <c r="E10" s="43"/>
      <c r="F10" s="43"/>
    </row>
    <row r="11" spans="1:6" ht="12.75">
      <c r="A11" s="42" t="s">
        <v>174</v>
      </c>
      <c r="B11" s="42">
        <v>300000</v>
      </c>
      <c r="C11" s="42">
        <v>4700000</v>
      </c>
      <c r="D11" s="42">
        <v>0</v>
      </c>
      <c r="E11" s="43"/>
      <c r="F11" s="43"/>
    </row>
    <row r="12" spans="1:6" ht="12.75">
      <c r="A12" s="42" t="s">
        <v>49</v>
      </c>
      <c r="B12" s="42">
        <f>(B11-B9)</f>
        <v>198000</v>
      </c>
      <c r="C12" s="42">
        <f>(C11-C9)</f>
        <v>3922865</v>
      </c>
      <c r="D12" s="42">
        <f>(D11-D9)</f>
        <v>0</v>
      </c>
      <c r="E12" s="43"/>
      <c r="F12" s="43"/>
    </row>
    <row r="13" spans="1:6" ht="12.75">
      <c r="A13" s="42"/>
      <c r="B13" s="42"/>
      <c r="C13" s="42"/>
      <c r="D13" s="42"/>
      <c r="E13" s="43"/>
      <c r="F13" s="43"/>
    </row>
    <row r="14" spans="1:6" ht="12.75">
      <c r="A14" s="77" t="s">
        <v>489</v>
      </c>
      <c r="B14" s="77">
        <v>0.8</v>
      </c>
      <c r="C14" s="150">
        <v>40927</v>
      </c>
      <c r="D14" s="43"/>
      <c r="E14" s="43"/>
      <c r="F14" s="43"/>
    </row>
    <row r="15" spans="1:6" ht="12.75">
      <c r="A15" s="77" t="s">
        <v>487</v>
      </c>
      <c r="B15" s="77">
        <f>(1-B14)</f>
        <v>0.19999999999999996</v>
      </c>
      <c r="C15" s="150">
        <v>40927</v>
      </c>
      <c r="D15" s="43"/>
      <c r="E15" s="43"/>
      <c r="F15" s="43"/>
    </row>
    <row r="16" spans="1:6" ht="12.75">
      <c r="A16" s="77" t="s">
        <v>488</v>
      </c>
      <c r="B16" s="77">
        <v>0.8</v>
      </c>
      <c r="C16" s="150">
        <v>40927</v>
      </c>
      <c r="D16" s="43"/>
      <c r="E16" s="43"/>
      <c r="F16" s="43"/>
    </row>
    <row r="17" spans="1:6" ht="12.75">
      <c r="A17" s="77" t="s">
        <v>490</v>
      </c>
      <c r="B17" s="77">
        <f>(1-B16)</f>
        <v>0.19999999999999996</v>
      </c>
      <c r="C17" s="150">
        <v>40927</v>
      </c>
      <c r="D17" s="43"/>
      <c r="E17" s="43"/>
      <c r="F17" s="43"/>
    </row>
    <row r="18" spans="1:6" ht="12.75">
      <c r="A18" s="77" t="s">
        <v>492</v>
      </c>
      <c r="B18" s="77">
        <v>0</v>
      </c>
      <c r="C18" s="150">
        <v>40927</v>
      </c>
      <c r="D18" s="43"/>
      <c r="E18" s="43"/>
      <c r="F18" s="43"/>
    </row>
    <row r="19" spans="1:6" ht="12.75">
      <c r="A19" s="43"/>
      <c r="B19" s="43"/>
      <c r="C19" s="43"/>
      <c r="D19" s="43"/>
      <c r="E19" s="43"/>
      <c r="F19" s="43"/>
    </row>
    <row r="20" spans="1:6" ht="61.5" customHeight="1">
      <c r="A20" s="65" t="s">
        <v>1439</v>
      </c>
      <c r="B20" s="43"/>
      <c r="C20" s="43"/>
      <c r="D20" s="55" t="s">
        <v>282</v>
      </c>
      <c r="E20" s="43"/>
      <c r="F20" s="43"/>
    </row>
    <row r="21" spans="1:6" ht="25.5">
      <c r="A21" s="44" t="s">
        <v>155</v>
      </c>
      <c r="B21" s="44" t="s">
        <v>156</v>
      </c>
      <c r="C21" s="44" t="s">
        <v>157</v>
      </c>
      <c r="D21" s="43"/>
      <c r="E21" s="43"/>
      <c r="F21" s="43"/>
    </row>
    <row r="22" spans="1:6" ht="12.75">
      <c r="A22" s="47" t="s">
        <v>346</v>
      </c>
      <c r="B22" s="43">
        <v>405</v>
      </c>
      <c r="C22" s="43">
        <v>5744</v>
      </c>
      <c r="D22" s="43"/>
      <c r="E22" s="43"/>
      <c r="F22" s="43"/>
    </row>
    <row r="23" spans="1:6" ht="12.75">
      <c r="A23" s="47" t="s">
        <v>347</v>
      </c>
      <c r="B23" s="43">
        <v>822</v>
      </c>
      <c r="C23" s="43">
        <v>10180</v>
      </c>
      <c r="D23" s="43"/>
      <c r="E23" s="43"/>
      <c r="F23" s="43"/>
    </row>
    <row r="24" spans="1:6" ht="12.75">
      <c r="A24" s="47" t="s">
        <v>348</v>
      </c>
      <c r="B24" s="43">
        <v>48</v>
      </c>
      <c r="C24" s="43">
        <v>353</v>
      </c>
      <c r="D24" s="43"/>
      <c r="E24" s="43"/>
      <c r="F24" s="43"/>
    </row>
    <row r="25" spans="1:6" ht="12.75">
      <c r="A25" s="47" t="s">
        <v>349</v>
      </c>
      <c r="B25" s="43">
        <v>3102</v>
      </c>
      <c r="C25" s="43">
        <v>7650</v>
      </c>
      <c r="D25" s="43"/>
      <c r="E25" s="43"/>
      <c r="F25" s="43"/>
    </row>
    <row r="26" spans="1:6" ht="12.75">
      <c r="A26" s="43"/>
      <c r="B26" s="43"/>
      <c r="C26" s="43"/>
      <c r="D26" s="43"/>
      <c r="E26" s="43"/>
      <c r="F26" s="43"/>
    </row>
    <row r="27" spans="1:6" ht="89.25">
      <c r="A27" s="65" t="s">
        <v>0</v>
      </c>
      <c r="B27" s="43"/>
      <c r="C27" s="43"/>
      <c r="D27" s="43"/>
      <c r="E27" s="55" t="s">
        <v>493</v>
      </c>
      <c r="F27" s="43"/>
    </row>
    <row r="28" spans="1:6" ht="39.75" customHeight="1">
      <c r="A28" s="44" t="s">
        <v>283</v>
      </c>
      <c r="B28" s="44" t="s">
        <v>290</v>
      </c>
      <c r="C28" s="44" t="s">
        <v>291</v>
      </c>
      <c r="D28" s="44" t="s">
        <v>292</v>
      </c>
      <c r="E28" s="44" t="s">
        <v>293</v>
      </c>
      <c r="F28" s="43"/>
    </row>
    <row r="29" spans="1:6" ht="12.75">
      <c r="A29" s="47" t="s">
        <v>345</v>
      </c>
      <c r="B29" s="45">
        <v>87</v>
      </c>
      <c r="C29" s="45">
        <v>0</v>
      </c>
      <c r="D29" s="45">
        <v>36510.84</v>
      </c>
      <c r="E29" s="45">
        <f aca="true" t="shared" si="1" ref="E29:E35">SUM(B29:D29)</f>
        <v>36597.84</v>
      </c>
      <c r="F29" s="43"/>
    </row>
    <row r="30" spans="1:6" ht="12.75">
      <c r="A30" s="47" t="s">
        <v>344</v>
      </c>
      <c r="B30" s="45">
        <v>609</v>
      </c>
      <c r="C30" s="45">
        <v>136.5</v>
      </c>
      <c r="D30" s="45">
        <v>73021.68</v>
      </c>
      <c r="E30" s="45">
        <f>SUM(B30:D30)</f>
        <v>73767.18</v>
      </c>
      <c r="F30" s="43"/>
    </row>
    <row r="31" spans="1:6" ht="12.75">
      <c r="A31" s="47" t="s">
        <v>152</v>
      </c>
      <c r="B31" s="45">
        <v>43</v>
      </c>
      <c r="C31" s="45">
        <v>0</v>
      </c>
      <c r="D31" s="45">
        <v>14604.34</v>
      </c>
      <c r="E31" s="45">
        <f t="shared" si="1"/>
        <v>14647.34</v>
      </c>
      <c r="F31" s="43"/>
    </row>
    <row r="32" spans="1:6" ht="12.75">
      <c r="A32" s="47" t="s">
        <v>158</v>
      </c>
      <c r="B32" s="45">
        <v>43</v>
      </c>
      <c r="C32" s="45">
        <v>0</v>
      </c>
      <c r="D32" s="45">
        <v>1825.54</v>
      </c>
      <c r="E32" s="45">
        <f t="shared" si="1"/>
        <v>1868.54</v>
      </c>
      <c r="F32" s="43"/>
    </row>
    <row r="33" spans="1:6" ht="12.75">
      <c r="A33" s="47" t="s">
        <v>279</v>
      </c>
      <c r="B33" s="45">
        <v>43</v>
      </c>
      <c r="C33" s="45">
        <v>0</v>
      </c>
      <c r="D33" s="45">
        <v>3651.08</v>
      </c>
      <c r="E33" s="45">
        <f t="shared" si="1"/>
        <v>3694.08</v>
      </c>
      <c r="F33" s="43"/>
    </row>
    <row r="34" spans="1:6" ht="12.75">
      <c r="A34" s="47" t="s">
        <v>280</v>
      </c>
      <c r="B34" s="45">
        <v>43</v>
      </c>
      <c r="C34" s="45">
        <v>0</v>
      </c>
      <c r="D34" s="45">
        <v>14604.34</v>
      </c>
      <c r="E34" s="45">
        <f t="shared" si="1"/>
        <v>14647.34</v>
      </c>
      <c r="F34" s="43"/>
    </row>
    <row r="35" spans="1:6" ht="12.75">
      <c r="A35" s="47" t="s">
        <v>281</v>
      </c>
      <c r="B35" s="45">
        <v>0</v>
      </c>
      <c r="C35" s="45">
        <v>0</v>
      </c>
      <c r="D35" s="45">
        <v>0</v>
      </c>
      <c r="E35" s="45">
        <f t="shared" si="1"/>
        <v>0</v>
      </c>
      <c r="F35" s="43"/>
    </row>
    <row r="36" spans="1:6" ht="12.75">
      <c r="A36" s="42" t="s">
        <v>173</v>
      </c>
      <c r="B36" s="50">
        <f>SUM(B29:B35)</f>
        <v>868</v>
      </c>
      <c r="C36" s="50">
        <f>SUM(C29:C35)</f>
        <v>136.5</v>
      </c>
      <c r="D36" s="50">
        <f>SUM(D29:D35)</f>
        <v>144217.81999999998</v>
      </c>
      <c r="E36" s="50">
        <f>SUM(E29:E35)</f>
        <v>145222.31999999998</v>
      </c>
      <c r="F36" s="43"/>
    </row>
    <row r="37" spans="1:6" ht="12.75">
      <c r="A37" s="42" t="s">
        <v>289</v>
      </c>
      <c r="B37" s="50">
        <v>34827</v>
      </c>
      <c r="C37" s="50">
        <v>910</v>
      </c>
      <c r="D37" s="50">
        <v>202838</v>
      </c>
      <c r="E37" s="50">
        <f>SUM(B37:D37)</f>
        <v>238575</v>
      </c>
      <c r="F37" s="43"/>
    </row>
    <row r="38" spans="1:6" ht="12.75">
      <c r="A38" s="42" t="s">
        <v>559</v>
      </c>
      <c r="B38" s="151">
        <v>0.25</v>
      </c>
      <c r="C38" s="151">
        <v>1.5</v>
      </c>
      <c r="D38" s="151">
        <v>1.8</v>
      </c>
      <c r="E38" s="151" t="s">
        <v>556</v>
      </c>
      <c r="F38" s="43"/>
    </row>
    <row r="39" spans="1:6" ht="12.75">
      <c r="A39" s="42" t="s">
        <v>174</v>
      </c>
      <c r="B39" s="50">
        <f>(B37*B38)</f>
        <v>8706.75</v>
      </c>
      <c r="C39" s="50">
        <f>(C37*C38)</f>
        <v>1365</v>
      </c>
      <c r="D39" s="50">
        <f>(D37*D38)</f>
        <v>365108.4</v>
      </c>
      <c r="E39" s="50">
        <f>SUM(B39:D39)</f>
        <v>375180.15</v>
      </c>
      <c r="F39" s="43"/>
    </row>
    <row r="40" spans="1:6" ht="25.5">
      <c r="A40" s="44" t="s">
        <v>47</v>
      </c>
      <c r="B40" s="50">
        <f>(B39-B36)</f>
        <v>7838.75</v>
      </c>
      <c r="C40" s="50">
        <f>(C39-C36)</f>
        <v>1228.5</v>
      </c>
      <c r="D40" s="50">
        <f>(D39-D36)</f>
        <v>220890.58000000005</v>
      </c>
      <c r="E40" s="50">
        <f>(E39-E36)</f>
        <v>229957.83000000005</v>
      </c>
      <c r="F40" s="43"/>
    </row>
    <row r="41" spans="1:6" ht="12.75">
      <c r="A41" s="43"/>
      <c r="B41" s="43"/>
      <c r="C41" s="43"/>
      <c r="D41" s="43"/>
      <c r="E41" s="43"/>
      <c r="F41" s="43"/>
    </row>
    <row r="42" spans="1:6" ht="18">
      <c r="A42" s="65" t="s">
        <v>462</v>
      </c>
      <c r="B42" s="43"/>
      <c r="C42" s="43"/>
      <c r="D42" s="43"/>
      <c r="E42" s="43"/>
      <c r="F42" s="43"/>
    </row>
    <row r="43" spans="1:6" ht="25.5">
      <c r="A43" s="44" t="s">
        <v>524</v>
      </c>
      <c r="B43" s="44" t="s">
        <v>525</v>
      </c>
      <c r="C43" s="44" t="s">
        <v>526</v>
      </c>
      <c r="D43" s="44" t="s">
        <v>527</v>
      </c>
      <c r="E43" s="44" t="s">
        <v>718</v>
      </c>
      <c r="F43" s="44" t="s">
        <v>126</v>
      </c>
    </row>
    <row r="44" spans="1:6" ht="12.75">
      <c r="A44" s="55" t="s">
        <v>350</v>
      </c>
      <c r="B44" s="55" t="s">
        <v>353</v>
      </c>
      <c r="C44" s="152">
        <f>(1*B6)</f>
        <v>1200</v>
      </c>
      <c r="D44" s="55">
        <f aca="true" t="shared" si="2" ref="D44:D51">(C44*1000)</f>
        <v>1200000</v>
      </c>
      <c r="E44" s="55" t="s">
        <v>719</v>
      </c>
      <c r="F44" s="43"/>
    </row>
    <row r="45" spans="1:6" ht="25.5">
      <c r="A45" s="55" t="s">
        <v>351</v>
      </c>
      <c r="B45" s="55" t="s">
        <v>234</v>
      </c>
      <c r="C45" s="57">
        <f>(C6-E31)</f>
        <v>2352.66</v>
      </c>
      <c r="D45" s="55">
        <f t="shared" si="2"/>
        <v>2352660</v>
      </c>
      <c r="E45" s="55" t="s">
        <v>620</v>
      </c>
      <c r="F45" s="43"/>
    </row>
    <row r="46" spans="1:6" ht="41.25" customHeight="1">
      <c r="A46" s="55" t="s">
        <v>352</v>
      </c>
      <c r="B46" s="55" t="s">
        <v>112</v>
      </c>
      <c r="C46" s="57">
        <f>(1*E31)</f>
        <v>14647.34</v>
      </c>
      <c r="D46" s="55">
        <f t="shared" si="2"/>
        <v>14647340</v>
      </c>
      <c r="E46" s="55" t="s">
        <v>616</v>
      </c>
      <c r="F46" s="107" t="s">
        <v>40</v>
      </c>
    </row>
    <row r="47" spans="1:6" ht="12.75">
      <c r="A47" s="55" t="s">
        <v>113</v>
      </c>
      <c r="B47" s="55" t="s">
        <v>353</v>
      </c>
      <c r="C47" s="57">
        <f>(1*B22)</f>
        <v>405</v>
      </c>
      <c r="D47" s="55">
        <f t="shared" si="2"/>
        <v>405000</v>
      </c>
      <c r="E47" s="55" t="s">
        <v>617</v>
      </c>
      <c r="F47" s="43"/>
    </row>
    <row r="48" spans="1:6" ht="25.5">
      <c r="A48" s="55" t="s">
        <v>114</v>
      </c>
      <c r="B48" s="55" t="s">
        <v>234</v>
      </c>
      <c r="C48" s="57">
        <f>(C22-C49)</f>
        <v>3875.46</v>
      </c>
      <c r="D48" s="55">
        <f t="shared" si="2"/>
        <v>3875460</v>
      </c>
      <c r="E48" s="55" t="s">
        <v>621</v>
      </c>
      <c r="F48" s="43"/>
    </row>
    <row r="49" spans="1:6" ht="39" customHeight="1">
      <c r="A49" s="55" t="s">
        <v>115</v>
      </c>
      <c r="B49" s="55" t="s">
        <v>112</v>
      </c>
      <c r="C49" s="57">
        <f>(1*E32)</f>
        <v>1868.54</v>
      </c>
      <c r="D49" s="55">
        <f t="shared" si="2"/>
        <v>1868540</v>
      </c>
      <c r="E49" s="55" t="s">
        <v>616</v>
      </c>
      <c r="F49" s="107" t="s">
        <v>40</v>
      </c>
    </row>
    <row r="50" spans="1:6" ht="12.75">
      <c r="A50" s="55" t="s">
        <v>116</v>
      </c>
      <c r="B50" s="55" t="s">
        <v>353</v>
      </c>
      <c r="C50" s="57">
        <f>(B9-C44-C47-C53-C56-C59-C63-C67)</f>
        <v>7423</v>
      </c>
      <c r="D50" s="55">
        <f t="shared" si="2"/>
        <v>7423000</v>
      </c>
      <c r="E50" s="55" t="s">
        <v>719</v>
      </c>
      <c r="F50" s="43"/>
    </row>
    <row r="51" spans="1:6" ht="12.75">
      <c r="A51" s="55" t="s">
        <v>117</v>
      </c>
      <c r="B51" s="55" t="s">
        <v>234</v>
      </c>
      <c r="C51" s="57">
        <f>(C9-C45-C46-C52-C48-C49-C54-C55-C57-C60-C61-C62-C64-C65-C66-C68-C69)</f>
        <v>171560.66</v>
      </c>
      <c r="D51" s="55">
        <f t="shared" si="2"/>
        <v>171560660</v>
      </c>
      <c r="E51" s="55" t="s">
        <v>719</v>
      </c>
      <c r="F51" s="43"/>
    </row>
    <row r="52" spans="1:6" ht="12.75">
      <c r="A52" s="55" t="s">
        <v>118</v>
      </c>
      <c r="B52" s="55" t="s">
        <v>112</v>
      </c>
      <c r="C52" s="57">
        <f>(1*D9)</f>
        <v>0</v>
      </c>
      <c r="D52" s="55">
        <f>(C52*1000)</f>
        <v>0</v>
      </c>
      <c r="E52" s="55"/>
      <c r="F52" s="43"/>
    </row>
    <row r="53" spans="1:6" ht="12.75">
      <c r="A53" s="55" t="s">
        <v>136</v>
      </c>
      <c r="B53" s="55" t="s">
        <v>353</v>
      </c>
      <c r="C53" s="57">
        <f>(1*B23)</f>
        <v>822</v>
      </c>
      <c r="D53" s="55">
        <f aca="true" t="shared" si="3" ref="D53:D66">(C53*1000)</f>
        <v>822000</v>
      </c>
      <c r="E53" s="55" t="s">
        <v>618</v>
      </c>
      <c r="F53" s="43"/>
    </row>
    <row r="54" spans="1:6" ht="25.5">
      <c r="A54" s="55" t="s">
        <v>137</v>
      </c>
      <c r="B54" s="55" t="s">
        <v>234</v>
      </c>
      <c r="C54" s="57">
        <f>(C23-C55)</f>
        <v>6485.92</v>
      </c>
      <c r="D54" s="55">
        <f t="shared" si="3"/>
        <v>6485920</v>
      </c>
      <c r="E54" s="55" t="s">
        <v>621</v>
      </c>
      <c r="F54" s="43"/>
    </row>
    <row r="55" spans="1:6" ht="12.75">
      <c r="A55" s="55" t="s">
        <v>138</v>
      </c>
      <c r="B55" s="55" t="s">
        <v>112</v>
      </c>
      <c r="C55" s="57">
        <f>(1*E33)</f>
        <v>3694.08</v>
      </c>
      <c r="D55" s="55">
        <f t="shared" si="3"/>
        <v>3694080</v>
      </c>
      <c r="E55" s="55" t="s">
        <v>616</v>
      </c>
      <c r="F55" s="43"/>
    </row>
    <row r="56" spans="1:6" ht="12.75">
      <c r="A56" s="55" t="s">
        <v>139</v>
      </c>
      <c r="B56" s="55" t="s">
        <v>353</v>
      </c>
      <c r="C56" s="57">
        <f>(1*B25)</f>
        <v>3102</v>
      </c>
      <c r="D56" s="55">
        <f t="shared" si="3"/>
        <v>3102000</v>
      </c>
      <c r="E56" s="55" t="s">
        <v>619</v>
      </c>
      <c r="F56" s="43"/>
    </row>
    <row r="57" spans="1:6" ht="12.75">
      <c r="A57" s="55" t="s">
        <v>140</v>
      </c>
      <c r="B57" s="55" t="s">
        <v>234</v>
      </c>
      <c r="C57" s="57">
        <f>(C25-C58)</f>
        <v>7650</v>
      </c>
      <c r="D57" s="55">
        <f t="shared" si="3"/>
        <v>7650000</v>
      </c>
      <c r="E57" s="55" t="s">
        <v>619</v>
      </c>
      <c r="F57" s="43"/>
    </row>
    <row r="58" spans="1:6" ht="12.75">
      <c r="A58" s="55" t="s">
        <v>141</v>
      </c>
      <c r="B58" s="55" t="s">
        <v>112</v>
      </c>
      <c r="C58" s="57">
        <f>(1*E35)</f>
        <v>0</v>
      </c>
      <c r="D58" s="55">
        <f t="shared" si="3"/>
        <v>0</v>
      </c>
      <c r="E58" s="55"/>
      <c r="F58" s="43"/>
    </row>
    <row r="59" spans="1:6" ht="12.75">
      <c r="A59" s="55" t="s">
        <v>119</v>
      </c>
      <c r="B59" s="55" t="s">
        <v>353</v>
      </c>
      <c r="C59" s="57">
        <f>(1*B3)</f>
        <v>40000</v>
      </c>
      <c r="D59" s="55">
        <f t="shared" si="3"/>
        <v>40000000</v>
      </c>
      <c r="E59" s="55" t="s">
        <v>622</v>
      </c>
      <c r="F59" s="43"/>
    </row>
    <row r="60" spans="1:6" ht="25.5">
      <c r="A60" s="55" t="s">
        <v>120</v>
      </c>
      <c r="B60" s="55" t="s">
        <v>234</v>
      </c>
      <c r="C60" s="57">
        <f>(C3-C61-C62)</f>
        <v>59402.16</v>
      </c>
      <c r="D60" s="55">
        <f t="shared" si="3"/>
        <v>59402160</v>
      </c>
      <c r="E60" s="55" t="s">
        <v>624</v>
      </c>
      <c r="F60" s="43"/>
    </row>
    <row r="61" spans="1:6" ht="12.75">
      <c r="A61" s="55" t="s">
        <v>121</v>
      </c>
      <c r="B61" s="55" t="s">
        <v>234</v>
      </c>
      <c r="C61" s="57">
        <f>(B15*C3)</f>
        <v>23999.999999999996</v>
      </c>
      <c r="D61" s="55">
        <f t="shared" si="3"/>
        <v>23999999.999999996</v>
      </c>
      <c r="E61" s="55" t="s">
        <v>719</v>
      </c>
      <c r="F61" s="43"/>
    </row>
    <row r="62" spans="1:6" ht="41.25" customHeight="1">
      <c r="A62" s="55" t="s">
        <v>131</v>
      </c>
      <c r="B62" s="55" t="s">
        <v>112</v>
      </c>
      <c r="C62" s="57">
        <f>(1*E29)</f>
        <v>36597.84</v>
      </c>
      <c r="D62" s="55">
        <f t="shared" si="3"/>
        <v>36597840</v>
      </c>
      <c r="E62" s="55" t="s">
        <v>623</v>
      </c>
      <c r="F62" s="305" t="s">
        <v>40</v>
      </c>
    </row>
    <row r="63" spans="1:6" ht="12.75">
      <c r="A63" s="55" t="s">
        <v>132</v>
      </c>
      <c r="B63" s="55" t="s">
        <v>353</v>
      </c>
      <c r="C63" s="57">
        <f>(1*B4)</f>
        <v>49000</v>
      </c>
      <c r="D63" s="55">
        <f t="shared" si="3"/>
        <v>49000000</v>
      </c>
      <c r="E63" s="55" t="s">
        <v>719</v>
      </c>
      <c r="F63" s="43"/>
    </row>
    <row r="64" spans="1:6" ht="25.5">
      <c r="A64" s="55" t="s">
        <v>133</v>
      </c>
      <c r="B64" s="55" t="s">
        <v>234</v>
      </c>
      <c r="C64" s="57">
        <f>(C4-C65-C66)</f>
        <v>270232.82</v>
      </c>
      <c r="D64" s="55">
        <f t="shared" si="3"/>
        <v>270232820</v>
      </c>
      <c r="E64" s="55" t="s">
        <v>624</v>
      </c>
      <c r="F64" s="43"/>
    </row>
    <row r="65" spans="1:6" ht="12.75">
      <c r="A65" s="55" t="s">
        <v>134</v>
      </c>
      <c r="B65" s="55" t="s">
        <v>234</v>
      </c>
      <c r="C65" s="57">
        <f>(B17*C4)</f>
        <v>85999.99999999999</v>
      </c>
      <c r="D65" s="55">
        <f t="shared" si="3"/>
        <v>85999999.99999999</v>
      </c>
      <c r="E65" s="55" t="s">
        <v>719</v>
      </c>
      <c r="F65" s="43"/>
    </row>
    <row r="66" spans="1:6" ht="40.5" customHeight="1">
      <c r="A66" s="55" t="s">
        <v>135</v>
      </c>
      <c r="B66" s="55" t="s">
        <v>112</v>
      </c>
      <c r="C66" s="57">
        <f>(1*E30)</f>
        <v>73767.18</v>
      </c>
      <c r="D66" s="55">
        <f t="shared" si="3"/>
        <v>73767180</v>
      </c>
      <c r="E66" s="55" t="s">
        <v>623</v>
      </c>
      <c r="F66" s="107" t="s">
        <v>39</v>
      </c>
    </row>
    <row r="67" spans="1:6" ht="12.75">
      <c r="A67" s="55" t="s">
        <v>341</v>
      </c>
      <c r="B67" s="55" t="s">
        <v>353</v>
      </c>
      <c r="C67" s="57">
        <f>(1*B24)</f>
        <v>48</v>
      </c>
      <c r="D67" s="55">
        <f>(C67*1000)</f>
        <v>48000</v>
      </c>
      <c r="E67" s="55" t="s">
        <v>617</v>
      </c>
      <c r="F67" s="43"/>
    </row>
    <row r="68" spans="1:6" ht="25.5">
      <c r="A68" s="55" t="s">
        <v>342</v>
      </c>
      <c r="B68" s="55" t="s">
        <v>234</v>
      </c>
      <c r="C68" s="57">
        <f>(1*C24)</f>
        <v>353</v>
      </c>
      <c r="D68" s="55">
        <f>(C68*1000)</f>
        <v>353000</v>
      </c>
      <c r="E68" s="55" t="s">
        <v>626</v>
      </c>
      <c r="F68" s="43"/>
    </row>
    <row r="69" spans="1:6" ht="33" customHeight="1">
      <c r="A69" s="55" t="s">
        <v>343</v>
      </c>
      <c r="B69" s="55" t="s">
        <v>112</v>
      </c>
      <c r="C69" s="57">
        <f>(1*E34)</f>
        <v>14647.34</v>
      </c>
      <c r="D69" s="55">
        <f>(C69*1000)</f>
        <v>14647340</v>
      </c>
      <c r="E69" s="55" t="s">
        <v>625</v>
      </c>
      <c r="F69" s="107" t="s">
        <v>38</v>
      </c>
    </row>
    <row r="70" spans="1:6" ht="25.5" customHeight="1">
      <c r="A70" s="42" t="s">
        <v>588</v>
      </c>
      <c r="B70" s="42"/>
      <c r="C70" s="50">
        <f>(C44+C47+C50+C53+C56+C59+C63+C67)</f>
        <v>102000</v>
      </c>
      <c r="D70" s="50"/>
      <c r="E70" s="42"/>
      <c r="F70" s="306" t="s">
        <v>589</v>
      </c>
    </row>
    <row r="71" spans="1:6" ht="12.75">
      <c r="A71" s="44" t="s">
        <v>590</v>
      </c>
      <c r="B71" s="153"/>
      <c r="C71" s="50">
        <f>(C45+C48+C51+C54+C57+C60+C61+C64+C65+C68)</f>
        <v>631912.6799999999</v>
      </c>
      <c r="D71" s="80"/>
      <c r="E71" s="42"/>
      <c r="F71" s="42"/>
    </row>
    <row r="72" spans="1:6" ht="12.75">
      <c r="A72" s="44" t="s">
        <v>591</v>
      </c>
      <c r="B72" s="42"/>
      <c r="C72" s="50">
        <f>(C46+C49+C52+C55+C58+C62+C66+C69)</f>
        <v>145222.31999999998</v>
      </c>
      <c r="D72" s="50"/>
      <c r="E72" s="42"/>
      <c r="F72" s="42"/>
    </row>
    <row r="73" spans="1:6" ht="28.5" customHeight="1">
      <c r="A73" s="44" t="s">
        <v>592</v>
      </c>
      <c r="B73" s="42"/>
      <c r="C73" s="50">
        <f>(C72+C71)</f>
        <v>777134.9999999999</v>
      </c>
      <c r="D73" s="42"/>
      <c r="E73" s="42"/>
      <c r="F73" s="306" t="s">
        <v>814</v>
      </c>
    </row>
    <row r="74" spans="1:6" ht="18" customHeight="1">
      <c r="A74" s="227"/>
      <c r="B74" s="307"/>
      <c r="C74" s="308"/>
      <c r="D74" s="307"/>
      <c r="E74" s="307"/>
      <c r="F74" s="309"/>
    </row>
    <row r="75" ht="25.5">
      <c r="A75" s="227" t="s">
        <v>463</v>
      </c>
    </row>
    <row r="76" spans="1:8" ht="38.25">
      <c r="A76" s="227"/>
      <c r="B76" s="44" t="s">
        <v>525</v>
      </c>
      <c r="C76" s="44" t="s">
        <v>526</v>
      </c>
      <c r="D76" s="251" t="s">
        <v>449</v>
      </c>
      <c r="E76" s="251" t="s">
        <v>450</v>
      </c>
      <c r="F76" s="251" t="s">
        <v>455</v>
      </c>
      <c r="G76" s="251" t="s">
        <v>451</v>
      </c>
      <c r="H76" s="251" t="s">
        <v>456</v>
      </c>
    </row>
    <row r="77" spans="2:8" ht="12.75">
      <c r="B77" s="55" t="s">
        <v>353</v>
      </c>
      <c r="C77" s="57">
        <f aca="true" t="shared" si="4" ref="C77:C102">(1*C44)</f>
        <v>1200</v>
      </c>
      <c r="D77" s="45">
        <f>(C77*0.09)</f>
        <v>108</v>
      </c>
      <c r="E77" s="43">
        <v>400</v>
      </c>
      <c r="F77" s="102">
        <f>(D77*E77)/1000000</f>
        <v>0.0432</v>
      </c>
      <c r="G77" s="43">
        <v>900</v>
      </c>
      <c r="H77" s="102">
        <f>(D77*G77)/1000000</f>
        <v>0.0972</v>
      </c>
    </row>
    <row r="78" spans="1:8" ht="12.75">
      <c r="A78" s="44" t="s">
        <v>524</v>
      </c>
      <c r="B78" s="55" t="s">
        <v>234</v>
      </c>
      <c r="C78" s="57">
        <f t="shared" si="4"/>
        <v>2352.66</v>
      </c>
      <c r="D78" s="45">
        <f>(C78*0.9)</f>
        <v>2117.394</v>
      </c>
      <c r="E78" s="43">
        <v>400</v>
      </c>
      <c r="F78" s="102">
        <f aca="true" t="shared" si="5" ref="F78:F102">(D78*E78)/1000000</f>
        <v>0.8469575999999999</v>
      </c>
      <c r="G78" s="43">
        <v>900</v>
      </c>
      <c r="H78" s="102">
        <f aca="true" t="shared" si="6" ref="H78:H102">(D78*G78)/1000000</f>
        <v>1.9056545999999999</v>
      </c>
    </row>
    <row r="79" spans="1:8" ht="12.75">
      <c r="A79" s="55" t="s">
        <v>350</v>
      </c>
      <c r="B79" s="55" t="s">
        <v>112</v>
      </c>
      <c r="C79" s="57">
        <f t="shared" si="4"/>
        <v>14647.34</v>
      </c>
      <c r="D79" s="45">
        <f>(C79*0.9)</f>
        <v>13182.606</v>
      </c>
      <c r="E79" s="43">
        <v>400</v>
      </c>
      <c r="F79" s="102">
        <f t="shared" si="5"/>
        <v>5.2730424000000005</v>
      </c>
      <c r="G79" s="43">
        <v>900</v>
      </c>
      <c r="H79" s="102">
        <f t="shared" si="6"/>
        <v>11.8643454</v>
      </c>
    </row>
    <row r="80" spans="1:8" ht="12.75">
      <c r="A80" s="55" t="s">
        <v>351</v>
      </c>
      <c r="B80" s="55" t="s">
        <v>353</v>
      </c>
      <c r="C80" s="57">
        <f t="shared" si="4"/>
        <v>405</v>
      </c>
      <c r="D80" s="45">
        <f>(C80*0.09)</f>
        <v>36.449999999999996</v>
      </c>
      <c r="E80" s="43">
        <v>600</v>
      </c>
      <c r="F80" s="102">
        <f t="shared" si="5"/>
        <v>0.021869999999999997</v>
      </c>
      <c r="G80" s="43">
        <v>4200</v>
      </c>
      <c r="H80" s="102">
        <f t="shared" si="6"/>
        <v>0.15308999999999998</v>
      </c>
    </row>
    <row r="81" spans="1:8" ht="12.75">
      <c r="A81" s="55" t="s">
        <v>352</v>
      </c>
      <c r="B81" s="55" t="s">
        <v>234</v>
      </c>
      <c r="C81" s="57">
        <f t="shared" si="4"/>
        <v>3875.46</v>
      </c>
      <c r="D81" s="45">
        <f>(C81*0.9)</f>
        <v>3487.914</v>
      </c>
      <c r="E81" s="43">
        <v>600</v>
      </c>
      <c r="F81" s="102">
        <f t="shared" si="5"/>
        <v>2.0927484</v>
      </c>
      <c r="G81" s="43">
        <v>4200</v>
      </c>
      <c r="H81" s="102">
        <f t="shared" si="6"/>
        <v>14.649238800000001</v>
      </c>
    </row>
    <row r="82" spans="1:8" ht="12.75">
      <c r="A82" s="55" t="s">
        <v>113</v>
      </c>
      <c r="B82" s="55" t="s">
        <v>112</v>
      </c>
      <c r="C82" s="57">
        <f t="shared" si="4"/>
        <v>1868.54</v>
      </c>
      <c r="D82" s="45">
        <f>(C82*0.9)</f>
        <v>1681.686</v>
      </c>
      <c r="E82" s="43">
        <v>600</v>
      </c>
      <c r="F82" s="102">
        <f t="shared" si="5"/>
        <v>1.0090116</v>
      </c>
      <c r="G82" s="43">
        <v>4200</v>
      </c>
      <c r="H82" s="102">
        <f t="shared" si="6"/>
        <v>7.063081199999999</v>
      </c>
    </row>
    <row r="83" spans="1:8" ht="12.75">
      <c r="A83" s="55" t="s">
        <v>114</v>
      </c>
      <c r="B83" s="55" t="s">
        <v>353</v>
      </c>
      <c r="C83" s="57">
        <f t="shared" si="4"/>
        <v>7423</v>
      </c>
      <c r="D83" s="45">
        <f>(C83*0.09)</f>
        <v>668.0699999999999</v>
      </c>
      <c r="E83" s="43">
        <v>80</v>
      </c>
      <c r="F83" s="102">
        <f t="shared" si="5"/>
        <v>0.05344559999999999</v>
      </c>
      <c r="G83" s="43">
        <v>125</v>
      </c>
      <c r="H83" s="102">
        <f t="shared" si="6"/>
        <v>0.08350874999999998</v>
      </c>
    </row>
    <row r="84" spans="1:8" ht="12.75">
      <c r="A84" s="55" t="s">
        <v>115</v>
      </c>
      <c r="B84" s="55" t="s">
        <v>234</v>
      </c>
      <c r="C84" s="57">
        <f t="shared" si="4"/>
        <v>171560.66</v>
      </c>
      <c r="D84" s="45">
        <f>(C84*0.9)</f>
        <v>154404.594</v>
      </c>
      <c r="E84" s="43">
        <v>80</v>
      </c>
      <c r="F84" s="102">
        <f t="shared" si="5"/>
        <v>12.352367520000001</v>
      </c>
      <c r="G84" s="43">
        <v>125</v>
      </c>
      <c r="H84" s="102">
        <f t="shared" si="6"/>
        <v>19.30057425</v>
      </c>
    </row>
    <row r="85" spans="1:8" ht="12.75">
      <c r="A85" s="303" t="s">
        <v>452</v>
      </c>
      <c r="B85" s="55" t="s">
        <v>112</v>
      </c>
      <c r="C85" s="57">
        <f t="shared" si="4"/>
        <v>0</v>
      </c>
      <c r="D85" s="45">
        <f>(C85*0.9)</f>
        <v>0</v>
      </c>
      <c r="E85" s="43">
        <v>80</v>
      </c>
      <c r="F85" s="102">
        <f t="shared" si="5"/>
        <v>0</v>
      </c>
      <c r="G85" s="43">
        <v>125</v>
      </c>
      <c r="H85" s="102">
        <f t="shared" si="6"/>
        <v>0</v>
      </c>
    </row>
    <row r="86" spans="1:8" ht="12.75">
      <c r="A86" s="303" t="s">
        <v>453</v>
      </c>
      <c r="B86" s="55" t="s">
        <v>353</v>
      </c>
      <c r="C86" s="57">
        <f t="shared" si="4"/>
        <v>822</v>
      </c>
      <c r="D86" s="45">
        <f>(C86*0.09)</f>
        <v>73.98</v>
      </c>
      <c r="E86" s="43">
        <v>350</v>
      </c>
      <c r="F86" s="102">
        <f t="shared" si="5"/>
        <v>0.025893</v>
      </c>
      <c r="G86" s="43">
        <v>1000</v>
      </c>
      <c r="H86" s="102">
        <f t="shared" si="6"/>
        <v>0.07398</v>
      </c>
    </row>
    <row r="87" spans="1:8" ht="12.75">
      <c r="A87" s="303" t="s">
        <v>454</v>
      </c>
      <c r="B87" s="55" t="s">
        <v>234</v>
      </c>
      <c r="C87" s="57">
        <f t="shared" si="4"/>
        <v>6485.92</v>
      </c>
      <c r="D87" s="45">
        <f>(C87*0.9)</f>
        <v>5837.328</v>
      </c>
      <c r="E87" s="43">
        <v>350</v>
      </c>
      <c r="F87" s="102">
        <f t="shared" si="5"/>
        <v>2.0430648000000002</v>
      </c>
      <c r="G87" s="43">
        <v>1000</v>
      </c>
      <c r="H87" s="102">
        <f t="shared" si="6"/>
        <v>5.837328</v>
      </c>
    </row>
    <row r="88" spans="1:8" ht="12.75">
      <c r="A88" s="55" t="s">
        <v>136</v>
      </c>
      <c r="B88" s="55" t="s">
        <v>112</v>
      </c>
      <c r="C88" s="57">
        <f t="shared" si="4"/>
        <v>3694.08</v>
      </c>
      <c r="D88" s="45">
        <f>(C88*0.9)</f>
        <v>3324.672</v>
      </c>
      <c r="E88" s="43">
        <v>350</v>
      </c>
      <c r="F88" s="102">
        <f t="shared" si="5"/>
        <v>1.1636351999999999</v>
      </c>
      <c r="G88" s="43">
        <v>1000</v>
      </c>
      <c r="H88" s="102">
        <f t="shared" si="6"/>
        <v>3.324672</v>
      </c>
    </row>
    <row r="89" spans="1:8" ht="12.75">
      <c r="A89" s="55" t="s">
        <v>137</v>
      </c>
      <c r="B89" s="55" t="s">
        <v>353</v>
      </c>
      <c r="C89" s="57">
        <f t="shared" si="4"/>
        <v>3102</v>
      </c>
      <c r="D89" s="45">
        <f>(C89*0.09)</f>
        <v>279.18</v>
      </c>
      <c r="E89" s="43">
        <v>9100</v>
      </c>
      <c r="F89" s="102">
        <f t="shared" si="5"/>
        <v>2.540538</v>
      </c>
      <c r="G89" s="43">
        <v>9800</v>
      </c>
      <c r="H89" s="102">
        <f t="shared" si="6"/>
        <v>2.735964</v>
      </c>
    </row>
    <row r="90" spans="1:8" ht="12.75">
      <c r="A90" s="55" t="s">
        <v>138</v>
      </c>
      <c r="B90" s="55" t="s">
        <v>234</v>
      </c>
      <c r="C90" s="57">
        <f t="shared" si="4"/>
        <v>7650</v>
      </c>
      <c r="D90" s="45">
        <f>(C90*0.9)</f>
        <v>6885</v>
      </c>
      <c r="E90" s="43">
        <v>9100</v>
      </c>
      <c r="F90" s="102">
        <f t="shared" si="5"/>
        <v>62.6535</v>
      </c>
      <c r="G90" s="43">
        <v>9800</v>
      </c>
      <c r="H90" s="102">
        <f t="shared" si="6"/>
        <v>67.473</v>
      </c>
    </row>
    <row r="91" spans="1:8" ht="12.75">
      <c r="A91" s="55" t="s">
        <v>139</v>
      </c>
      <c r="B91" s="55" t="s">
        <v>112</v>
      </c>
      <c r="C91" s="57">
        <f t="shared" si="4"/>
        <v>0</v>
      </c>
      <c r="D91" s="45">
        <f>(C91*0.9)</f>
        <v>0</v>
      </c>
      <c r="E91" s="43">
        <v>9100</v>
      </c>
      <c r="F91" s="102">
        <f t="shared" si="5"/>
        <v>0</v>
      </c>
      <c r="G91" s="43">
        <v>9800</v>
      </c>
      <c r="H91" s="102">
        <f t="shared" si="6"/>
        <v>0</v>
      </c>
    </row>
    <row r="92" spans="1:8" ht="12.75">
      <c r="A92" s="55" t="s">
        <v>140</v>
      </c>
      <c r="B92" s="55" t="s">
        <v>353</v>
      </c>
      <c r="C92" s="57">
        <f t="shared" si="4"/>
        <v>40000</v>
      </c>
      <c r="D92" s="45">
        <f>(C92*0.09)</f>
        <v>3600</v>
      </c>
      <c r="E92" s="43">
        <v>300</v>
      </c>
      <c r="F92" s="102">
        <f t="shared" si="5"/>
        <v>1.08</v>
      </c>
      <c r="G92" s="43">
        <v>900</v>
      </c>
      <c r="H92" s="102">
        <f t="shared" si="6"/>
        <v>3.24</v>
      </c>
    </row>
    <row r="93" spans="1:8" ht="12.75">
      <c r="A93" s="55" t="s">
        <v>141</v>
      </c>
      <c r="B93" s="55" t="s">
        <v>234</v>
      </c>
      <c r="C93" s="57">
        <f t="shared" si="4"/>
        <v>59402.16</v>
      </c>
      <c r="D93" s="45">
        <f>(C93*0.9)</f>
        <v>53461.944</v>
      </c>
      <c r="E93" s="43">
        <v>300</v>
      </c>
      <c r="F93" s="102">
        <f t="shared" si="5"/>
        <v>16.0385832</v>
      </c>
      <c r="G93" s="43">
        <v>900</v>
      </c>
      <c r="H93" s="102">
        <f t="shared" si="6"/>
        <v>48.1157496</v>
      </c>
    </row>
    <row r="94" spans="1:8" ht="12.75">
      <c r="A94" s="55" t="s">
        <v>119</v>
      </c>
      <c r="B94" s="55" t="s">
        <v>234</v>
      </c>
      <c r="C94" s="57">
        <f t="shared" si="4"/>
        <v>23999.999999999996</v>
      </c>
      <c r="D94" s="45">
        <f>(C94*0.9)</f>
        <v>21599.999999999996</v>
      </c>
      <c r="E94" s="43">
        <v>300</v>
      </c>
      <c r="F94" s="102">
        <f t="shared" si="5"/>
        <v>6.479999999999999</v>
      </c>
      <c r="G94" s="43">
        <v>900</v>
      </c>
      <c r="H94" s="102">
        <f t="shared" si="6"/>
        <v>19.439999999999998</v>
      </c>
    </row>
    <row r="95" spans="1:8" ht="12.75">
      <c r="A95" s="55" t="s">
        <v>120</v>
      </c>
      <c r="B95" s="55" t="s">
        <v>112</v>
      </c>
      <c r="C95" s="57">
        <f t="shared" si="4"/>
        <v>36597.84</v>
      </c>
      <c r="D95" s="45">
        <f>(C95*0.9)</f>
        <v>32938.056</v>
      </c>
      <c r="E95" s="43">
        <v>300</v>
      </c>
      <c r="F95" s="102">
        <f t="shared" si="5"/>
        <v>9.881416799999998</v>
      </c>
      <c r="G95" s="43">
        <v>900</v>
      </c>
      <c r="H95" s="102">
        <f t="shared" si="6"/>
        <v>29.644250399999997</v>
      </c>
    </row>
    <row r="96" spans="1:8" ht="12.75">
      <c r="A96" s="55" t="s">
        <v>121</v>
      </c>
      <c r="B96" s="55" t="s">
        <v>353</v>
      </c>
      <c r="C96" s="57">
        <f t="shared" si="4"/>
        <v>49000</v>
      </c>
      <c r="D96" s="45">
        <f>(C96*0.09)</f>
        <v>4410</v>
      </c>
      <c r="E96" s="43">
        <v>80</v>
      </c>
      <c r="F96" s="102">
        <f t="shared" si="5"/>
        <v>0.3528</v>
      </c>
      <c r="G96" s="43">
        <v>125</v>
      </c>
      <c r="H96" s="102">
        <f t="shared" si="6"/>
        <v>0.55125</v>
      </c>
    </row>
    <row r="97" spans="1:8" ht="12.75">
      <c r="A97" s="55" t="s">
        <v>131</v>
      </c>
      <c r="B97" s="55" t="s">
        <v>234</v>
      </c>
      <c r="C97" s="57">
        <f t="shared" si="4"/>
        <v>270232.82</v>
      </c>
      <c r="D97" s="45">
        <f>(C97*0.9)</f>
        <v>243209.538</v>
      </c>
      <c r="E97" s="43">
        <v>80</v>
      </c>
      <c r="F97" s="102">
        <f t="shared" si="5"/>
        <v>19.45676304</v>
      </c>
      <c r="G97" s="43">
        <v>125</v>
      </c>
      <c r="H97" s="102">
        <f t="shared" si="6"/>
        <v>30.40119225</v>
      </c>
    </row>
    <row r="98" spans="1:8" ht="12.75">
      <c r="A98" s="55" t="s">
        <v>132</v>
      </c>
      <c r="B98" s="55" t="s">
        <v>234</v>
      </c>
      <c r="C98" s="57">
        <f t="shared" si="4"/>
        <v>85999.99999999999</v>
      </c>
      <c r="D98" s="45">
        <f>(C98*0.9)</f>
        <v>77399.99999999999</v>
      </c>
      <c r="E98" s="43">
        <v>80</v>
      </c>
      <c r="F98" s="102">
        <f t="shared" si="5"/>
        <v>6.191999999999999</v>
      </c>
      <c r="G98" s="43">
        <v>125</v>
      </c>
      <c r="H98" s="102">
        <f t="shared" si="6"/>
        <v>9.674999999999999</v>
      </c>
    </row>
    <row r="99" spans="1:8" ht="12.75">
      <c r="A99" s="55" t="s">
        <v>133</v>
      </c>
      <c r="B99" s="55" t="s">
        <v>112</v>
      </c>
      <c r="C99" s="57">
        <f t="shared" si="4"/>
        <v>73767.18</v>
      </c>
      <c r="D99" s="45">
        <f>(C99*0.9)</f>
        <v>66390.462</v>
      </c>
      <c r="E99" s="43">
        <v>80</v>
      </c>
      <c r="F99" s="102">
        <f t="shared" si="5"/>
        <v>5.31123696</v>
      </c>
      <c r="G99" s="43">
        <v>125</v>
      </c>
      <c r="H99" s="102">
        <f t="shared" si="6"/>
        <v>8.29880775</v>
      </c>
    </row>
    <row r="100" spans="1:8" ht="12.75">
      <c r="A100" s="55" t="s">
        <v>134</v>
      </c>
      <c r="B100" s="55" t="s">
        <v>353</v>
      </c>
      <c r="C100" s="57">
        <f t="shared" si="4"/>
        <v>48</v>
      </c>
      <c r="D100" s="45">
        <f>(C100*0.09)</f>
        <v>4.32</v>
      </c>
      <c r="E100" s="43">
        <v>100</v>
      </c>
      <c r="F100" s="102">
        <f t="shared" si="5"/>
        <v>0.000432</v>
      </c>
      <c r="G100" s="43">
        <v>500</v>
      </c>
      <c r="H100" s="102">
        <f t="shared" si="6"/>
        <v>0.00216</v>
      </c>
    </row>
    <row r="101" spans="1:8" ht="12.75">
      <c r="A101" s="55" t="s">
        <v>135</v>
      </c>
      <c r="B101" s="55" t="s">
        <v>234</v>
      </c>
      <c r="C101" s="57">
        <f t="shared" si="4"/>
        <v>353</v>
      </c>
      <c r="D101" s="45">
        <f>(C101*0.9)</f>
        <v>317.7</v>
      </c>
      <c r="E101" s="43">
        <v>100</v>
      </c>
      <c r="F101" s="102">
        <f t="shared" si="5"/>
        <v>0.03177</v>
      </c>
      <c r="G101" s="43">
        <v>500</v>
      </c>
      <c r="H101" s="102">
        <f t="shared" si="6"/>
        <v>0.15885</v>
      </c>
    </row>
    <row r="102" spans="1:8" ht="12.75">
      <c r="A102" s="55" t="s">
        <v>341</v>
      </c>
      <c r="B102" s="55" t="s">
        <v>112</v>
      </c>
      <c r="C102" s="57">
        <f t="shared" si="4"/>
        <v>14647.34</v>
      </c>
      <c r="D102" s="45">
        <f>(C102*0.9)</f>
        <v>13182.606</v>
      </c>
      <c r="E102" s="43">
        <v>100</v>
      </c>
      <c r="F102" s="102">
        <f t="shared" si="5"/>
        <v>1.3182606000000001</v>
      </c>
      <c r="G102" s="43">
        <v>500</v>
      </c>
      <c r="H102" s="102">
        <f t="shared" si="6"/>
        <v>6.591303</v>
      </c>
    </row>
    <row r="103" spans="1:8" ht="12.75">
      <c r="A103" s="55" t="s">
        <v>342</v>
      </c>
      <c r="B103" s="43"/>
      <c r="C103" s="45">
        <f>SUM(C77:C102)</f>
        <v>879134.9999999999</v>
      </c>
      <c r="D103" s="45">
        <f>SUM(D77:D102)</f>
        <v>708601.5</v>
      </c>
      <c r="E103" s="43"/>
      <c r="F103" s="102">
        <f>SUM(F77:F102)</f>
        <v>156.26253672</v>
      </c>
      <c r="G103" s="43"/>
      <c r="H103" s="102">
        <f>SUM(H77:H102)</f>
        <v>290.68019999999996</v>
      </c>
    </row>
    <row r="104" spans="1:8" ht="12.75">
      <c r="A104" s="55" t="s">
        <v>343</v>
      </c>
      <c r="F104" s="3"/>
      <c r="H104" s="3"/>
    </row>
    <row r="105" ht="12.75">
      <c r="A105" s="304" t="s">
        <v>555</v>
      </c>
    </row>
    <row r="106" ht="12.75">
      <c r="A106" s="302"/>
    </row>
  </sheetData>
  <sheetProtection/>
  <printOptions/>
  <pageMargins left="0.75" right="0.75" top="1" bottom="1" header="0.5" footer="0.5"/>
  <pageSetup horizontalDpi="600" verticalDpi="600" orientation="portrait" paperSize="9" scale="69"/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46"/>
  <sheetViews>
    <sheetView zoomScale="60" zoomScaleNormal="60" zoomScalePageLayoutView="0" workbookViewId="0" topLeftCell="A1">
      <selection activeCell="H136" sqref="H136"/>
    </sheetView>
  </sheetViews>
  <sheetFormatPr defaultColWidth="8.8515625" defaultRowHeight="12.75"/>
  <cols>
    <col min="1" max="1" width="26.421875" style="0" customWidth="1"/>
    <col min="2" max="2" width="14.28125" style="0" customWidth="1"/>
    <col min="3" max="4" width="12.8515625" style="0" customWidth="1"/>
    <col min="5" max="5" width="12.7109375" style="0" customWidth="1"/>
    <col min="6" max="7" width="12.421875" style="0" customWidth="1"/>
    <col min="8" max="8" width="16.421875" style="0" customWidth="1"/>
    <col min="9" max="11" width="10.421875" style="0" customWidth="1"/>
    <col min="12" max="12" width="18.00390625" style="0" customWidth="1"/>
  </cols>
  <sheetData>
    <row r="1" spans="1:12" ht="18">
      <c r="A1" s="65" t="s">
        <v>464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41.25" customHeight="1">
      <c r="A2" s="44" t="s">
        <v>494</v>
      </c>
      <c r="B2" s="44" t="s">
        <v>440</v>
      </c>
      <c r="C2" s="44" t="s">
        <v>32</v>
      </c>
      <c r="D2" s="44" t="s">
        <v>33</v>
      </c>
      <c r="E2" s="44" t="s">
        <v>34</v>
      </c>
      <c r="F2" s="44" t="s">
        <v>109</v>
      </c>
      <c r="G2" s="44" t="s">
        <v>69</v>
      </c>
      <c r="H2" s="44" t="s">
        <v>30</v>
      </c>
      <c r="I2" s="44" t="s">
        <v>31</v>
      </c>
      <c r="J2" s="44" t="s">
        <v>63</v>
      </c>
      <c r="K2" s="44" t="s">
        <v>62</v>
      </c>
      <c r="L2" s="44" t="s">
        <v>52</v>
      </c>
    </row>
    <row r="3" spans="1:12" ht="27.75" customHeight="1">
      <c r="A3" s="44" t="s">
        <v>163</v>
      </c>
      <c r="B3" s="55" t="s">
        <v>284</v>
      </c>
      <c r="C3" s="55">
        <v>0.5</v>
      </c>
      <c r="D3" s="55">
        <v>0.6</v>
      </c>
      <c r="E3" s="55">
        <v>2.5</v>
      </c>
      <c r="F3" s="66">
        <v>135</v>
      </c>
      <c r="G3" s="55">
        <v>0</v>
      </c>
      <c r="H3" s="55">
        <v>1400</v>
      </c>
      <c r="I3" s="55">
        <f>(H3-G3-F3)</f>
        <v>1265</v>
      </c>
      <c r="J3" s="66" t="s">
        <v>130</v>
      </c>
      <c r="K3" s="66" t="s">
        <v>130</v>
      </c>
      <c r="L3" s="55" t="s">
        <v>35</v>
      </c>
    </row>
    <row r="4" spans="1:12" ht="68.25" customHeight="1">
      <c r="A4" s="44" t="s">
        <v>1387</v>
      </c>
      <c r="B4" s="44" t="s">
        <v>284</v>
      </c>
      <c r="C4" s="44">
        <v>2.9</v>
      </c>
      <c r="D4" s="44">
        <v>3.3</v>
      </c>
      <c r="E4" s="44">
        <v>6</v>
      </c>
      <c r="F4" s="44">
        <v>733.6</v>
      </c>
      <c r="G4" s="44">
        <v>0</v>
      </c>
      <c r="H4" s="44">
        <v>12000</v>
      </c>
      <c r="I4" s="44">
        <f>(H4-G4-F4)</f>
        <v>11266.4</v>
      </c>
      <c r="J4" s="44">
        <v>5700</v>
      </c>
      <c r="K4" s="44">
        <v>25000</v>
      </c>
      <c r="L4" s="67" t="s">
        <v>1395</v>
      </c>
    </row>
    <row r="5" spans="1:12" ht="50.25" customHeight="1">
      <c r="A5" s="44" t="s">
        <v>60</v>
      </c>
      <c r="B5" s="44" t="s">
        <v>284</v>
      </c>
      <c r="C5" s="55">
        <v>2.62</v>
      </c>
      <c r="D5" s="44">
        <v>2.85</v>
      </c>
      <c r="E5" s="55">
        <v>5</v>
      </c>
      <c r="F5" s="68">
        <v>633.6</v>
      </c>
      <c r="G5" s="44">
        <v>0</v>
      </c>
      <c r="H5" s="44">
        <v>12000</v>
      </c>
      <c r="I5" s="44">
        <f>(H5-G5-F5)</f>
        <v>11366.4</v>
      </c>
      <c r="J5" s="44">
        <v>5700</v>
      </c>
      <c r="K5" s="44">
        <v>25000</v>
      </c>
      <c r="L5" s="69" t="s">
        <v>823</v>
      </c>
    </row>
    <row r="6" spans="1:12" ht="39" customHeight="1">
      <c r="A6" s="44" t="s">
        <v>64</v>
      </c>
      <c r="B6" s="44" t="s">
        <v>284</v>
      </c>
      <c r="C6" s="44">
        <v>16.49</v>
      </c>
      <c r="D6" s="44">
        <v>21.52</v>
      </c>
      <c r="E6" s="70">
        <v>5</v>
      </c>
      <c r="F6" s="44">
        <v>4200</v>
      </c>
      <c r="G6" s="44">
        <v>0</v>
      </c>
      <c r="H6" s="44">
        <v>65000</v>
      </c>
      <c r="I6" s="44">
        <v>47500</v>
      </c>
      <c r="J6" s="68" t="s">
        <v>130</v>
      </c>
      <c r="K6" s="68" t="s">
        <v>130</v>
      </c>
      <c r="L6" s="44" t="s">
        <v>1388</v>
      </c>
    </row>
    <row r="7" spans="1:12" ht="25.5">
      <c r="A7" s="44" t="s">
        <v>888</v>
      </c>
      <c r="B7" s="55" t="s">
        <v>68</v>
      </c>
      <c r="C7" s="55">
        <v>13.51</v>
      </c>
      <c r="D7" s="55">
        <v>21.52</v>
      </c>
      <c r="E7" s="71">
        <v>5</v>
      </c>
      <c r="F7" s="55">
        <v>4200</v>
      </c>
      <c r="G7" s="71">
        <v>1904</v>
      </c>
      <c r="H7" s="55">
        <v>65000</v>
      </c>
      <c r="I7" s="55">
        <f>(H7-G7-F7)</f>
        <v>58896</v>
      </c>
      <c r="J7" s="66" t="s">
        <v>130</v>
      </c>
      <c r="K7" s="66" t="s">
        <v>130</v>
      </c>
      <c r="L7" s="55" t="s">
        <v>67</v>
      </c>
    </row>
    <row r="8" spans="1:12" ht="24.75" customHeight="1">
      <c r="A8" s="44" t="s">
        <v>65</v>
      </c>
      <c r="B8" s="55" t="s">
        <v>68</v>
      </c>
      <c r="C8" s="55">
        <v>10.9</v>
      </c>
      <c r="D8" s="55">
        <v>21.52</v>
      </c>
      <c r="E8" s="71">
        <v>5</v>
      </c>
      <c r="F8" s="55">
        <v>4200</v>
      </c>
      <c r="G8" s="66" t="s">
        <v>70</v>
      </c>
      <c r="H8" s="55">
        <v>65000</v>
      </c>
      <c r="I8" s="55">
        <v>42500</v>
      </c>
      <c r="J8" s="66" t="s">
        <v>130</v>
      </c>
      <c r="K8" s="66" t="s">
        <v>130</v>
      </c>
      <c r="L8" s="55" t="s">
        <v>67</v>
      </c>
    </row>
    <row r="9" spans="1:12" ht="25.5">
      <c r="A9" s="44" t="s">
        <v>66</v>
      </c>
      <c r="B9" s="55" t="s">
        <v>68</v>
      </c>
      <c r="C9" s="55">
        <v>8.08</v>
      </c>
      <c r="D9" s="55">
        <v>21.52</v>
      </c>
      <c r="E9" s="71">
        <v>5</v>
      </c>
      <c r="F9" s="55">
        <v>4200</v>
      </c>
      <c r="G9" s="66" t="s">
        <v>70</v>
      </c>
      <c r="H9" s="55">
        <v>65000</v>
      </c>
      <c r="I9" s="55">
        <v>35500</v>
      </c>
      <c r="J9" s="66" t="s">
        <v>130</v>
      </c>
      <c r="K9" s="66" t="s">
        <v>130</v>
      </c>
      <c r="L9" s="55" t="s">
        <v>67</v>
      </c>
    </row>
    <row r="10" spans="1:12" ht="38.25">
      <c r="A10" s="44" t="s">
        <v>72</v>
      </c>
      <c r="B10" s="55" t="s">
        <v>284</v>
      </c>
      <c r="C10" s="55">
        <v>8.17</v>
      </c>
      <c r="D10" s="55">
        <v>10.56</v>
      </c>
      <c r="E10" s="66">
        <v>3</v>
      </c>
      <c r="F10" s="55">
        <v>3000</v>
      </c>
      <c r="G10" s="55">
        <v>0</v>
      </c>
      <c r="H10" s="55">
        <v>50000</v>
      </c>
      <c r="I10" s="55">
        <f>(H10-G10-F10)</f>
        <v>47000</v>
      </c>
      <c r="J10" s="66" t="s">
        <v>130</v>
      </c>
      <c r="K10" s="66" t="s">
        <v>130</v>
      </c>
      <c r="L10" s="66" t="s">
        <v>1396</v>
      </c>
    </row>
    <row r="11" spans="1:12" ht="25.5">
      <c r="A11" s="44" t="s">
        <v>884</v>
      </c>
      <c r="B11" s="55" t="s">
        <v>68</v>
      </c>
      <c r="C11" s="55">
        <v>6.99</v>
      </c>
      <c r="D11" s="55">
        <v>10.56</v>
      </c>
      <c r="E11" s="66">
        <v>3</v>
      </c>
      <c r="F11" s="55">
        <v>3000</v>
      </c>
      <c r="G11" s="55">
        <v>1365</v>
      </c>
      <c r="H11" s="55">
        <v>50000</v>
      </c>
      <c r="I11" s="55">
        <f>(H11-G11-F11)</f>
        <v>45635</v>
      </c>
      <c r="J11" s="66" t="s">
        <v>130</v>
      </c>
      <c r="K11" s="66" t="s">
        <v>130</v>
      </c>
      <c r="L11" s="55" t="s">
        <v>67</v>
      </c>
    </row>
    <row r="12" spans="1:12" ht="25.5">
      <c r="A12" s="44" t="s">
        <v>71</v>
      </c>
      <c r="B12" s="55" t="s">
        <v>68</v>
      </c>
      <c r="C12" s="66" t="s">
        <v>70</v>
      </c>
      <c r="D12" s="66" t="s">
        <v>70</v>
      </c>
      <c r="E12" s="66">
        <v>3</v>
      </c>
      <c r="F12" s="55">
        <v>3000</v>
      </c>
      <c r="G12" s="66" t="s">
        <v>70</v>
      </c>
      <c r="H12" s="55">
        <v>50000</v>
      </c>
      <c r="I12" s="66" t="s">
        <v>70</v>
      </c>
      <c r="J12" s="66" t="s">
        <v>130</v>
      </c>
      <c r="K12" s="66" t="s">
        <v>130</v>
      </c>
      <c r="L12" s="55" t="s">
        <v>67</v>
      </c>
    </row>
    <row r="13" spans="1:12" ht="38.25">
      <c r="A13" s="44" t="s">
        <v>73</v>
      </c>
      <c r="B13" s="55" t="s">
        <v>74</v>
      </c>
      <c r="C13" s="55">
        <v>2.83</v>
      </c>
      <c r="D13" s="55">
        <v>5.39</v>
      </c>
      <c r="E13" s="66">
        <v>150</v>
      </c>
      <c r="F13" s="55">
        <v>18300</v>
      </c>
      <c r="G13" s="55">
        <v>0</v>
      </c>
      <c r="H13" s="55">
        <v>20000</v>
      </c>
      <c r="I13" s="55">
        <f>(H13-G13-F13)</f>
        <v>1700</v>
      </c>
      <c r="J13" s="55">
        <v>2890</v>
      </c>
      <c r="K13" s="55">
        <v>23556</v>
      </c>
      <c r="L13" s="55" t="s">
        <v>1388</v>
      </c>
    </row>
    <row r="14" spans="1:12" ht="38.25">
      <c r="A14" s="44" t="s">
        <v>75</v>
      </c>
      <c r="B14" s="55" t="s">
        <v>77</v>
      </c>
      <c r="C14" s="55">
        <v>0.49</v>
      </c>
      <c r="D14" s="55">
        <v>1.33</v>
      </c>
      <c r="E14" s="71">
        <v>160</v>
      </c>
      <c r="F14" s="55">
        <v>9800</v>
      </c>
      <c r="G14" s="66" t="s">
        <v>70</v>
      </c>
      <c r="H14" s="55">
        <v>20000</v>
      </c>
      <c r="I14" s="55"/>
      <c r="J14" s="55">
        <v>22586</v>
      </c>
      <c r="K14" s="55">
        <v>23556</v>
      </c>
      <c r="L14" s="55" t="s">
        <v>67</v>
      </c>
    </row>
    <row r="15" spans="1:12" ht="38.25">
      <c r="A15" s="44" t="s">
        <v>76</v>
      </c>
      <c r="B15" s="55" t="s">
        <v>77</v>
      </c>
      <c r="C15" s="55">
        <v>0.165</v>
      </c>
      <c r="D15" s="55">
        <v>1.33</v>
      </c>
      <c r="E15" s="71">
        <v>150</v>
      </c>
      <c r="F15" s="55">
        <v>5800</v>
      </c>
      <c r="G15" s="66" t="s">
        <v>70</v>
      </c>
      <c r="H15" s="55">
        <v>20000</v>
      </c>
      <c r="I15" s="55"/>
      <c r="J15" s="55">
        <v>22586</v>
      </c>
      <c r="K15" s="55">
        <v>23556</v>
      </c>
      <c r="L15" s="55" t="s">
        <v>67</v>
      </c>
    </row>
    <row r="16" spans="1:12" ht="25.5">
      <c r="A16" s="44" t="s">
        <v>238</v>
      </c>
      <c r="B16" s="55" t="s">
        <v>284</v>
      </c>
      <c r="C16" s="66" t="s">
        <v>130</v>
      </c>
      <c r="D16" s="66" t="s">
        <v>130</v>
      </c>
      <c r="E16" s="66" t="s">
        <v>130</v>
      </c>
      <c r="F16" s="66" t="s">
        <v>130</v>
      </c>
      <c r="G16" s="66" t="s">
        <v>130</v>
      </c>
      <c r="H16" s="66" t="s">
        <v>130</v>
      </c>
      <c r="I16" s="66" t="s">
        <v>130</v>
      </c>
      <c r="J16" s="66" t="s">
        <v>130</v>
      </c>
      <c r="K16" s="66" t="s">
        <v>130</v>
      </c>
      <c r="L16" s="55" t="s">
        <v>94</v>
      </c>
    </row>
    <row r="17" spans="1:12" ht="25.5">
      <c r="A17" s="44" t="s">
        <v>543</v>
      </c>
      <c r="B17" s="55" t="s">
        <v>284</v>
      </c>
      <c r="C17" s="66" t="s">
        <v>130</v>
      </c>
      <c r="D17" s="66" t="s">
        <v>130</v>
      </c>
      <c r="E17" s="66" t="s">
        <v>130</v>
      </c>
      <c r="F17" s="66" t="s">
        <v>130</v>
      </c>
      <c r="G17" s="66" t="s">
        <v>130</v>
      </c>
      <c r="H17" s="66" t="s">
        <v>130</v>
      </c>
      <c r="I17" s="66" t="s">
        <v>130</v>
      </c>
      <c r="J17" s="66" t="s">
        <v>130</v>
      </c>
      <c r="K17" s="66" t="s">
        <v>130</v>
      </c>
      <c r="L17" s="55" t="s">
        <v>94</v>
      </c>
    </row>
    <row r="18" spans="1:12" ht="25.5">
      <c r="A18" s="44" t="s">
        <v>544</v>
      </c>
      <c r="B18" s="55" t="s">
        <v>284</v>
      </c>
      <c r="C18" s="66" t="s">
        <v>130</v>
      </c>
      <c r="D18" s="66" t="s">
        <v>130</v>
      </c>
      <c r="E18" s="66" t="s">
        <v>130</v>
      </c>
      <c r="F18" s="66" t="s">
        <v>130</v>
      </c>
      <c r="G18" s="66" t="s">
        <v>130</v>
      </c>
      <c r="H18" s="66" t="s">
        <v>130</v>
      </c>
      <c r="I18" s="66" t="s">
        <v>130</v>
      </c>
      <c r="J18" s="66" t="s">
        <v>130</v>
      </c>
      <c r="K18" s="66" t="s">
        <v>130</v>
      </c>
      <c r="L18" s="55" t="s">
        <v>94</v>
      </c>
    </row>
    <row r="19" spans="1:12" ht="25.5">
      <c r="A19" s="44" t="s">
        <v>545</v>
      </c>
      <c r="B19" s="55" t="s">
        <v>74</v>
      </c>
      <c r="C19" s="66" t="s">
        <v>130</v>
      </c>
      <c r="D19" s="66" t="s">
        <v>130</v>
      </c>
      <c r="E19" s="66" t="s">
        <v>130</v>
      </c>
      <c r="F19" s="66" t="s">
        <v>130</v>
      </c>
      <c r="G19" s="66" t="s">
        <v>130</v>
      </c>
      <c r="H19" s="66" t="s">
        <v>130</v>
      </c>
      <c r="I19" s="66" t="s">
        <v>130</v>
      </c>
      <c r="J19" s="66" t="s">
        <v>130</v>
      </c>
      <c r="K19" s="66" t="s">
        <v>130</v>
      </c>
      <c r="L19" s="55" t="s">
        <v>95</v>
      </c>
    </row>
    <row r="20" spans="1:12" ht="12.75">
      <c r="A20" s="44" t="s">
        <v>546</v>
      </c>
      <c r="B20" s="55" t="s">
        <v>93</v>
      </c>
      <c r="C20" s="66" t="s">
        <v>130</v>
      </c>
      <c r="D20" s="66" t="s">
        <v>130</v>
      </c>
      <c r="E20" s="66" t="s">
        <v>130</v>
      </c>
      <c r="F20" s="66" t="s">
        <v>130</v>
      </c>
      <c r="G20" s="66" t="s">
        <v>130</v>
      </c>
      <c r="H20" s="66" t="s">
        <v>130</v>
      </c>
      <c r="I20" s="66" t="s">
        <v>130</v>
      </c>
      <c r="J20" s="66" t="s">
        <v>130</v>
      </c>
      <c r="K20" s="66" t="s">
        <v>130</v>
      </c>
      <c r="L20" s="55" t="s">
        <v>61</v>
      </c>
    </row>
    <row r="21" spans="1:12" ht="45">
      <c r="A21" s="44" t="s">
        <v>547</v>
      </c>
      <c r="B21" s="55" t="s">
        <v>357</v>
      </c>
      <c r="C21" s="55">
        <v>17.9</v>
      </c>
      <c r="D21" s="55">
        <v>19.5</v>
      </c>
      <c r="E21" s="66" t="s">
        <v>130</v>
      </c>
      <c r="F21" s="55">
        <v>3080</v>
      </c>
      <c r="G21" s="55">
        <v>0</v>
      </c>
      <c r="H21" s="55">
        <v>35000</v>
      </c>
      <c r="I21" s="66" t="s">
        <v>70</v>
      </c>
      <c r="J21" s="55">
        <v>5500</v>
      </c>
      <c r="K21" s="55">
        <v>5500</v>
      </c>
      <c r="L21" s="72" t="s">
        <v>1419</v>
      </c>
    </row>
    <row r="22" spans="1:12" ht="25.5">
      <c r="A22" s="44" t="s">
        <v>548</v>
      </c>
      <c r="B22" s="55" t="s">
        <v>284</v>
      </c>
      <c r="C22" s="55">
        <v>3.5</v>
      </c>
      <c r="D22" s="55">
        <v>4.69</v>
      </c>
      <c r="E22" s="66" t="s">
        <v>130</v>
      </c>
      <c r="F22" s="66" t="s">
        <v>130</v>
      </c>
      <c r="G22" s="66" t="s">
        <v>130</v>
      </c>
      <c r="H22" s="66" t="s">
        <v>130</v>
      </c>
      <c r="I22" s="66" t="s">
        <v>130</v>
      </c>
      <c r="J22" s="66" t="s">
        <v>130</v>
      </c>
      <c r="K22" s="66" t="s">
        <v>130</v>
      </c>
      <c r="L22" s="55" t="s">
        <v>94</v>
      </c>
    </row>
    <row r="23" spans="1:12" ht="33.75">
      <c r="A23" s="44" t="s">
        <v>654</v>
      </c>
      <c r="B23" s="55" t="s">
        <v>98</v>
      </c>
      <c r="C23" s="66" t="s">
        <v>130</v>
      </c>
      <c r="D23" s="73">
        <f>(2.4*2.2*2.2)</f>
        <v>11.616000000000001</v>
      </c>
      <c r="E23" s="66" t="s">
        <v>130</v>
      </c>
      <c r="F23" s="66">
        <v>0</v>
      </c>
      <c r="G23" s="66" t="s">
        <v>70</v>
      </c>
      <c r="H23" s="66" t="s">
        <v>130</v>
      </c>
      <c r="I23" s="66" t="s">
        <v>130</v>
      </c>
      <c r="J23" s="66" t="s">
        <v>130</v>
      </c>
      <c r="K23" s="66" t="s">
        <v>130</v>
      </c>
      <c r="L23" s="74" t="s">
        <v>822</v>
      </c>
    </row>
    <row r="24" spans="1:12" ht="12.75">
      <c r="A24" s="44" t="s">
        <v>96</v>
      </c>
      <c r="B24" s="55"/>
      <c r="C24" s="55"/>
      <c r="D24" s="55"/>
      <c r="E24" s="66"/>
      <c r="F24" s="66"/>
      <c r="G24" s="66"/>
      <c r="H24" s="66"/>
      <c r="I24" s="66"/>
      <c r="J24" s="66"/>
      <c r="K24" s="66"/>
      <c r="L24" s="55"/>
    </row>
    <row r="25" spans="1:12" ht="25.5">
      <c r="A25" s="44" t="s">
        <v>97</v>
      </c>
      <c r="B25" s="55" t="s">
        <v>98</v>
      </c>
      <c r="C25" s="55">
        <v>3.72</v>
      </c>
      <c r="D25" s="55">
        <v>15.63</v>
      </c>
      <c r="E25" s="66" t="s">
        <v>130</v>
      </c>
      <c r="F25" s="71">
        <v>0</v>
      </c>
      <c r="G25" s="71">
        <v>30500</v>
      </c>
      <c r="H25" s="71">
        <v>45000</v>
      </c>
      <c r="I25" s="71" t="s">
        <v>99</v>
      </c>
      <c r="J25" s="66" t="s">
        <v>130</v>
      </c>
      <c r="K25" s="66" t="s">
        <v>130</v>
      </c>
      <c r="L25" s="55" t="s">
        <v>100</v>
      </c>
    </row>
    <row r="26" spans="1:12" ht="27">
      <c r="A26" s="44" t="s">
        <v>101</v>
      </c>
      <c r="B26" s="55" t="s">
        <v>98</v>
      </c>
      <c r="C26" s="55">
        <v>3.72</v>
      </c>
      <c r="D26" s="55">
        <v>6.22</v>
      </c>
      <c r="E26" s="66" t="s">
        <v>130</v>
      </c>
      <c r="F26" s="71">
        <v>0</v>
      </c>
      <c r="G26" s="71">
        <v>6600</v>
      </c>
      <c r="H26" s="71">
        <v>19530</v>
      </c>
      <c r="I26" s="71" t="s">
        <v>99</v>
      </c>
      <c r="J26" s="66" t="s">
        <v>130</v>
      </c>
      <c r="K26" s="66" t="s">
        <v>130</v>
      </c>
      <c r="L26" s="55" t="s">
        <v>100</v>
      </c>
    </row>
    <row r="27" spans="1:12" ht="27">
      <c r="A27" s="44" t="s">
        <v>1427</v>
      </c>
      <c r="B27" s="55" t="s">
        <v>98</v>
      </c>
      <c r="C27" s="55">
        <v>2.85</v>
      </c>
      <c r="D27" s="55">
        <v>4.89</v>
      </c>
      <c r="E27" s="66" t="s">
        <v>130</v>
      </c>
      <c r="F27" s="71">
        <v>0</v>
      </c>
      <c r="G27" s="71">
        <v>5180</v>
      </c>
      <c r="H27" s="71">
        <v>19530</v>
      </c>
      <c r="I27" s="71" t="s">
        <v>99</v>
      </c>
      <c r="J27" s="66" t="s">
        <v>130</v>
      </c>
      <c r="K27" s="66" t="s">
        <v>130</v>
      </c>
      <c r="L27" s="55" t="s">
        <v>100</v>
      </c>
    </row>
    <row r="28" spans="1:12" ht="25.5">
      <c r="A28" s="44" t="s">
        <v>1428</v>
      </c>
      <c r="B28" s="55" t="s">
        <v>284</v>
      </c>
      <c r="C28" s="55">
        <v>3.97</v>
      </c>
      <c r="D28" s="55">
        <v>13.93</v>
      </c>
      <c r="E28" s="66" t="s">
        <v>130</v>
      </c>
      <c r="F28" s="71">
        <v>0</v>
      </c>
      <c r="G28" s="71">
        <v>53000</v>
      </c>
      <c r="H28" s="71">
        <v>65000</v>
      </c>
      <c r="I28" s="71" t="s">
        <v>99</v>
      </c>
      <c r="J28" s="66" t="s">
        <v>130</v>
      </c>
      <c r="K28" s="66" t="s">
        <v>130</v>
      </c>
      <c r="L28" s="55" t="s">
        <v>100</v>
      </c>
    </row>
    <row r="29" spans="1:12" ht="36">
      <c r="A29" s="75" t="s">
        <v>465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1:12" ht="38.25">
      <c r="A30" s="44" t="s">
        <v>494</v>
      </c>
      <c r="B30" s="44" t="s">
        <v>440</v>
      </c>
      <c r="C30" s="44" t="s">
        <v>32</v>
      </c>
      <c r="D30" s="44" t="s">
        <v>33</v>
      </c>
      <c r="E30" s="44" t="s">
        <v>34</v>
      </c>
      <c r="F30" s="44" t="s">
        <v>109</v>
      </c>
      <c r="G30" s="44" t="s">
        <v>69</v>
      </c>
      <c r="H30" s="44" t="s">
        <v>30</v>
      </c>
      <c r="I30" s="44" t="s">
        <v>31</v>
      </c>
      <c r="J30" s="44" t="s">
        <v>63</v>
      </c>
      <c r="K30" s="44" t="s">
        <v>62</v>
      </c>
      <c r="L30" s="44" t="s">
        <v>52</v>
      </c>
    </row>
    <row r="31" spans="1:12" ht="38.25">
      <c r="A31" s="44" t="s">
        <v>1429</v>
      </c>
      <c r="B31" s="55" t="s">
        <v>357</v>
      </c>
      <c r="C31" s="55">
        <v>32.1</v>
      </c>
      <c r="D31" s="55">
        <v>38.5</v>
      </c>
      <c r="E31" s="66" t="s">
        <v>130</v>
      </c>
      <c r="F31" s="55">
        <v>2700</v>
      </c>
      <c r="G31" s="55">
        <v>0</v>
      </c>
      <c r="H31" s="55">
        <v>20000</v>
      </c>
      <c r="I31" s="55">
        <f aca="true" t="shared" si="0" ref="I31:I36">(H31-G31-F31)</f>
        <v>17300</v>
      </c>
      <c r="J31" s="66" t="s">
        <v>130</v>
      </c>
      <c r="K31" s="66" t="s">
        <v>130</v>
      </c>
      <c r="L31" s="55" t="s">
        <v>1432</v>
      </c>
    </row>
    <row r="32" spans="1:12" ht="12.75">
      <c r="A32" s="44" t="s">
        <v>1430</v>
      </c>
      <c r="B32" s="55" t="s">
        <v>357</v>
      </c>
      <c r="C32" s="55">
        <v>31.4</v>
      </c>
      <c r="D32" s="55">
        <v>38.3</v>
      </c>
      <c r="E32" s="66" t="s">
        <v>130</v>
      </c>
      <c r="F32" s="55">
        <v>4800</v>
      </c>
      <c r="G32" s="55">
        <v>0</v>
      </c>
      <c r="H32" s="55">
        <v>25000</v>
      </c>
      <c r="I32" s="55">
        <f t="shared" si="0"/>
        <v>20200</v>
      </c>
      <c r="J32" s="66" t="s">
        <v>130</v>
      </c>
      <c r="K32" s="66" t="s">
        <v>130</v>
      </c>
      <c r="L32" s="55" t="s">
        <v>61</v>
      </c>
    </row>
    <row r="33" spans="1:12" ht="12.75">
      <c r="A33" s="44" t="s">
        <v>1431</v>
      </c>
      <c r="B33" s="55" t="s">
        <v>357</v>
      </c>
      <c r="C33" s="55">
        <v>22.3</v>
      </c>
      <c r="D33" s="55">
        <v>26.8</v>
      </c>
      <c r="E33" s="66" t="s">
        <v>130</v>
      </c>
      <c r="F33" s="55">
        <v>4000</v>
      </c>
      <c r="G33" s="55">
        <v>0</v>
      </c>
      <c r="H33" s="55">
        <v>35000</v>
      </c>
      <c r="I33" s="55">
        <f t="shared" si="0"/>
        <v>31000</v>
      </c>
      <c r="J33" s="66" t="s">
        <v>130</v>
      </c>
      <c r="K33" s="66" t="s">
        <v>130</v>
      </c>
      <c r="L33" s="55" t="s">
        <v>61</v>
      </c>
    </row>
    <row r="34" spans="1:12" ht="38.25">
      <c r="A34" s="44" t="s">
        <v>547</v>
      </c>
      <c r="B34" s="55" t="s">
        <v>357</v>
      </c>
      <c r="C34" s="55">
        <v>17.9</v>
      </c>
      <c r="D34" s="55">
        <v>19.5</v>
      </c>
      <c r="E34" s="66" t="s">
        <v>130</v>
      </c>
      <c r="F34" s="55">
        <v>3080</v>
      </c>
      <c r="G34" s="55">
        <v>0</v>
      </c>
      <c r="H34" s="55">
        <v>35000</v>
      </c>
      <c r="I34" s="55">
        <f t="shared" si="0"/>
        <v>31920</v>
      </c>
      <c r="J34" s="55">
        <v>5500</v>
      </c>
      <c r="K34" s="55">
        <v>5500</v>
      </c>
      <c r="L34" s="55" t="s">
        <v>1433</v>
      </c>
    </row>
    <row r="35" spans="1:12" ht="38.25">
      <c r="A35" s="44" t="s">
        <v>552</v>
      </c>
      <c r="B35" s="55" t="s">
        <v>357</v>
      </c>
      <c r="C35" s="55">
        <v>11.3</v>
      </c>
      <c r="D35" s="55">
        <v>13</v>
      </c>
      <c r="E35" s="66" t="s">
        <v>130</v>
      </c>
      <c r="F35" s="55">
        <v>3000</v>
      </c>
      <c r="G35" s="55">
        <v>0</v>
      </c>
      <c r="H35" s="55">
        <v>35000</v>
      </c>
      <c r="I35" s="55">
        <f t="shared" si="0"/>
        <v>32000</v>
      </c>
      <c r="J35" s="55">
        <v>4800</v>
      </c>
      <c r="K35" s="55">
        <v>4800</v>
      </c>
      <c r="L35" s="55" t="s">
        <v>1432</v>
      </c>
    </row>
    <row r="36" spans="1:12" ht="33.75">
      <c r="A36" s="44" t="s">
        <v>64</v>
      </c>
      <c r="B36" s="55" t="s">
        <v>284</v>
      </c>
      <c r="C36" s="55">
        <v>16.5</v>
      </c>
      <c r="D36" s="55">
        <v>21.52</v>
      </c>
      <c r="E36" s="71">
        <v>5</v>
      </c>
      <c r="F36" s="55">
        <v>4200</v>
      </c>
      <c r="G36" s="55">
        <v>0</v>
      </c>
      <c r="H36" s="55">
        <v>30000</v>
      </c>
      <c r="I36" s="55">
        <f t="shared" si="0"/>
        <v>25800</v>
      </c>
      <c r="J36" s="66" t="s">
        <v>130</v>
      </c>
      <c r="K36" s="66" t="s">
        <v>130</v>
      </c>
      <c r="L36" s="72" t="s">
        <v>824</v>
      </c>
    </row>
    <row r="37" spans="1:12" ht="18">
      <c r="A37" s="75" t="s">
        <v>1434</v>
      </c>
      <c r="B37" s="55"/>
      <c r="C37" s="55"/>
      <c r="D37" s="55"/>
      <c r="E37" s="66"/>
      <c r="F37" s="55"/>
      <c r="G37" s="55"/>
      <c r="H37" s="55"/>
      <c r="I37" s="55"/>
      <c r="J37" s="66"/>
      <c r="K37" s="66"/>
      <c r="L37" s="55"/>
    </row>
    <row r="38" spans="1:12" ht="38.25">
      <c r="A38" s="44" t="s">
        <v>494</v>
      </c>
      <c r="B38" s="44" t="s">
        <v>440</v>
      </c>
      <c r="C38" s="44" t="s">
        <v>32</v>
      </c>
      <c r="D38" s="44" t="s">
        <v>33</v>
      </c>
      <c r="E38" s="44" t="s">
        <v>34</v>
      </c>
      <c r="F38" s="44" t="s">
        <v>109</v>
      </c>
      <c r="G38" s="44" t="s">
        <v>69</v>
      </c>
      <c r="H38" s="44" t="s">
        <v>30</v>
      </c>
      <c r="I38" s="44" t="s">
        <v>31</v>
      </c>
      <c r="J38" s="44" t="s">
        <v>63</v>
      </c>
      <c r="K38" s="44" t="s">
        <v>62</v>
      </c>
      <c r="L38" s="44" t="s">
        <v>52</v>
      </c>
    </row>
    <row r="39" spans="1:12" ht="25.5">
      <c r="A39" s="76" t="s">
        <v>607</v>
      </c>
      <c r="B39" s="55" t="s">
        <v>357</v>
      </c>
      <c r="C39" s="55">
        <v>0.21</v>
      </c>
      <c r="D39" s="55">
        <v>0.25</v>
      </c>
      <c r="E39" s="71">
        <v>1</v>
      </c>
      <c r="F39" s="71">
        <v>18.6</v>
      </c>
      <c r="G39" s="55">
        <v>0</v>
      </c>
      <c r="H39" s="71">
        <v>18.6</v>
      </c>
      <c r="I39" s="71">
        <f>18.6+340</f>
        <v>358.6</v>
      </c>
      <c r="J39" s="71">
        <v>40</v>
      </c>
      <c r="K39" s="71">
        <v>65</v>
      </c>
      <c r="L39" s="55" t="s">
        <v>606</v>
      </c>
    </row>
    <row r="40" spans="1:12" ht="12.75">
      <c r="A40" s="77" t="s">
        <v>668</v>
      </c>
      <c r="B40" s="55" t="s">
        <v>357</v>
      </c>
      <c r="C40" s="55">
        <v>31.4</v>
      </c>
      <c r="D40" s="55">
        <v>38.3</v>
      </c>
      <c r="E40" s="66" t="s">
        <v>130</v>
      </c>
      <c r="F40" s="55">
        <v>4800</v>
      </c>
      <c r="G40" s="55">
        <v>0</v>
      </c>
      <c r="H40" s="55">
        <v>25000</v>
      </c>
      <c r="I40" s="55">
        <f>(H40-G40-F40)</f>
        <v>20200</v>
      </c>
      <c r="J40" s="66" t="s">
        <v>130</v>
      </c>
      <c r="K40" s="66" t="s">
        <v>130</v>
      </c>
      <c r="L40" s="55" t="s">
        <v>61</v>
      </c>
    </row>
    <row r="41" spans="1:12" ht="12.75">
      <c r="A41" s="77" t="s">
        <v>669</v>
      </c>
      <c r="B41" s="55" t="s">
        <v>357</v>
      </c>
      <c r="C41" s="48" t="s">
        <v>130</v>
      </c>
      <c r="D41" s="48" t="s">
        <v>130</v>
      </c>
      <c r="E41" s="66" t="s">
        <v>130</v>
      </c>
      <c r="F41" s="66" t="s">
        <v>130</v>
      </c>
      <c r="G41" s="55">
        <v>0</v>
      </c>
      <c r="H41" s="66" t="s">
        <v>130</v>
      </c>
      <c r="I41" s="66" t="s">
        <v>130</v>
      </c>
      <c r="J41" s="66" t="s">
        <v>130</v>
      </c>
      <c r="K41" s="66" t="s">
        <v>130</v>
      </c>
      <c r="L41" s="55" t="s">
        <v>1343</v>
      </c>
    </row>
    <row r="42" spans="1:12" ht="12.75">
      <c r="A42" s="77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12" ht="18">
      <c r="A43" s="65" t="s">
        <v>466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1:12" ht="54.75" customHeight="1">
      <c r="A44" s="44" t="s">
        <v>494</v>
      </c>
      <c r="B44" s="44" t="s">
        <v>496</v>
      </c>
      <c r="C44" s="44" t="s">
        <v>36</v>
      </c>
      <c r="D44" s="44" t="s">
        <v>37</v>
      </c>
      <c r="E44" s="44" t="s">
        <v>41</v>
      </c>
      <c r="F44" s="44" t="s">
        <v>42</v>
      </c>
      <c r="G44" s="44" t="s">
        <v>52</v>
      </c>
      <c r="H44" s="43"/>
      <c r="I44" s="55" t="s">
        <v>1404</v>
      </c>
      <c r="J44" s="43"/>
      <c r="K44" s="55" t="s">
        <v>1405</v>
      </c>
      <c r="L44" s="55" t="s">
        <v>1406</v>
      </c>
    </row>
    <row r="45" spans="1:12" ht="12.75">
      <c r="A45" s="55" t="s">
        <v>495</v>
      </c>
      <c r="B45" s="57">
        <v>78.7</v>
      </c>
      <c r="C45" s="57">
        <v>354.1</v>
      </c>
      <c r="D45" s="56">
        <f>(C45/B45)</f>
        <v>4.4993646759847525</v>
      </c>
      <c r="E45" s="57">
        <v>804.5</v>
      </c>
      <c r="F45" s="56">
        <f aca="true" t="shared" si="1" ref="F45:F71">(E45/B45)</f>
        <v>10.222363405336722</v>
      </c>
      <c r="G45" s="55"/>
      <c r="H45" s="43"/>
      <c r="I45" s="102">
        <f>(B45/$B$73)*100</f>
        <v>0.03504270802210853</v>
      </c>
      <c r="J45" s="43"/>
      <c r="K45" s="45">
        <f>(B45*102000/287000)</f>
        <v>27.970034843205575</v>
      </c>
      <c r="L45" s="55"/>
    </row>
    <row r="46" spans="1:12" ht="12.75">
      <c r="A46" s="55" t="s">
        <v>497</v>
      </c>
      <c r="B46" s="57">
        <v>76.8</v>
      </c>
      <c r="C46" s="57">
        <v>261.2</v>
      </c>
      <c r="D46" s="56">
        <f aca="true" t="shared" si="2" ref="D46:D71">(C46/B46)</f>
        <v>3.4010416666666665</v>
      </c>
      <c r="E46" s="57">
        <v>785.1</v>
      </c>
      <c r="F46" s="56">
        <f t="shared" si="1"/>
        <v>10.22265625</v>
      </c>
      <c r="G46" s="55"/>
      <c r="H46" s="43"/>
      <c r="I46" s="102">
        <f>(B46/$B$73)*100</f>
        <v>0.03419669601140959</v>
      </c>
      <c r="J46" s="43"/>
      <c r="K46" s="45">
        <f aca="true" t="shared" si="3" ref="K46:K71">(B46*102000/287000)</f>
        <v>27.294773519163762</v>
      </c>
      <c r="L46" s="43"/>
    </row>
    <row r="47" spans="1:12" ht="12.75">
      <c r="A47" s="55" t="s">
        <v>498</v>
      </c>
      <c r="B47" s="57">
        <v>92.4</v>
      </c>
      <c r="C47" s="57">
        <v>809.4</v>
      </c>
      <c r="D47" s="56">
        <f t="shared" si="2"/>
        <v>8.759740259740258</v>
      </c>
      <c r="E47" s="57">
        <v>944.4</v>
      </c>
      <c r="F47" s="56">
        <f t="shared" si="1"/>
        <v>10.22077922077922</v>
      </c>
      <c r="G47" s="55"/>
      <c r="H47" s="43"/>
      <c r="I47" s="102">
        <f>(B47/$B$73)*100</f>
        <v>0.04114289988872717</v>
      </c>
      <c r="J47" s="43"/>
      <c r="K47" s="45">
        <f t="shared" si="3"/>
        <v>32.8390243902439</v>
      </c>
      <c r="L47" s="43"/>
    </row>
    <row r="48" spans="1:12" ht="25.5">
      <c r="A48" s="55" t="s">
        <v>397</v>
      </c>
      <c r="B48" s="57">
        <v>19</v>
      </c>
      <c r="C48" s="57">
        <v>105.1</v>
      </c>
      <c r="D48" s="56">
        <f t="shared" si="2"/>
        <v>5.531578947368421</v>
      </c>
      <c r="E48" s="57">
        <v>194.2</v>
      </c>
      <c r="F48" s="56">
        <f t="shared" si="1"/>
        <v>10.221052631578948</v>
      </c>
      <c r="G48" s="55"/>
      <c r="H48" s="43"/>
      <c r="I48" s="102">
        <f>(B48/$B$73)*100</f>
        <v>0.008460120106989353</v>
      </c>
      <c r="J48" s="43"/>
      <c r="K48" s="45">
        <f t="shared" si="3"/>
        <v>6.7526132404181185</v>
      </c>
      <c r="L48" s="43"/>
    </row>
    <row r="49" spans="1:12" ht="14.25">
      <c r="A49" s="55" t="s">
        <v>43</v>
      </c>
      <c r="B49" s="57">
        <v>3359.8</v>
      </c>
      <c r="C49" s="57">
        <v>9141</v>
      </c>
      <c r="D49" s="56">
        <f t="shared" si="2"/>
        <v>2.720697660575034</v>
      </c>
      <c r="E49" s="57">
        <v>11380.8</v>
      </c>
      <c r="F49" s="56">
        <f t="shared" si="1"/>
        <v>3.387344484790761</v>
      </c>
      <c r="G49" s="55"/>
      <c r="H49" s="43"/>
      <c r="I49" s="102">
        <f>(B49/$B$73)*100</f>
        <v>1.4960163966033069</v>
      </c>
      <c r="J49" s="43"/>
      <c r="K49" s="45">
        <f t="shared" si="3"/>
        <v>1194.0752613240418</v>
      </c>
      <c r="L49" s="43"/>
    </row>
    <row r="50" spans="1:12" ht="14.25">
      <c r="A50" s="55" t="s">
        <v>44</v>
      </c>
      <c r="B50" s="57">
        <v>272.7</v>
      </c>
      <c r="C50" s="57">
        <v>968.4</v>
      </c>
      <c r="D50" s="56">
        <f t="shared" si="2"/>
        <v>3.551155115511551</v>
      </c>
      <c r="E50" s="57">
        <v>1185.7</v>
      </c>
      <c r="F50" s="56">
        <f t="shared" si="1"/>
        <v>4.348001466813348</v>
      </c>
      <c r="G50" s="55"/>
      <c r="H50" s="43"/>
      <c r="I50" s="102">
        <f aca="true" t="shared" si="4" ref="I50:I71">(B50/$B$73)*100</f>
        <v>0.12142498700926296</v>
      </c>
      <c r="J50" s="43"/>
      <c r="K50" s="45">
        <f t="shared" si="3"/>
        <v>96.9177700348432</v>
      </c>
      <c r="L50" s="43"/>
    </row>
    <row r="51" spans="1:12" ht="14.25">
      <c r="A51" s="55" t="s">
        <v>45</v>
      </c>
      <c r="B51" s="57">
        <v>1319.5</v>
      </c>
      <c r="C51" s="57">
        <v>3014.7</v>
      </c>
      <c r="D51" s="56">
        <f t="shared" si="2"/>
        <v>2.284729064039409</v>
      </c>
      <c r="E51" s="57">
        <v>3442.6</v>
      </c>
      <c r="F51" s="56">
        <f t="shared" si="1"/>
        <v>2.609018567639257</v>
      </c>
      <c r="G51" s="55"/>
      <c r="H51" s="43"/>
      <c r="I51" s="102">
        <f t="shared" si="4"/>
        <v>0.5875330779564447</v>
      </c>
      <c r="J51" s="43"/>
      <c r="K51" s="45">
        <f t="shared" si="3"/>
        <v>468.9512195121951</v>
      </c>
      <c r="L51" s="43"/>
    </row>
    <row r="52" spans="1:12" ht="14.25">
      <c r="A52" s="55" t="s">
        <v>1384</v>
      </c>
      <c r="B52" s="57">
        <v>384.7</v>
      </c>
      <c r="C52" s="57">
        <v>988.3</v>
      </c>
      <c r="D52" s="56">
        <f t="shared" si="2"/>
        <v>2.5690148167403173</v>
      </c>
      <c r="E52" s="57">
        <v>1173.8</v>
      </c>
      <c r="F52" s="56">
        <f t="shared" si="1"/>
        <v>3.051208734078503</v>
      </c>
      <c r="G52" s="55"/>
      <c r="H52" s="43"/>
      <c r="I52" s="102">
        <f t="shared" si="4"/>
        <v>0.1712951686925686</v>
      </c>
      <c r="J52" s="43"/>
      <c r="K52" s="45">
        <f t="shared" si="3"/>
        <v>136.72264808362368</v>
      </c>
      <c r="L52" s="43"/>
    </row>
    <row r="53" spans="1:12" ht="12.75">
      <c r="A53" s="55" t="s">
        <v>402</v>
      </c>
      <c r="B53" s="57">
        <v>2569.4</v>
      </c>
      <c r="C53" s="57">
        <v>36741.9</v>
      </c>
      <c r="D53" s="56">
        <f t="shared" si="2"/>
        <v>14.299797618120962</v>
      </c>
      <c r="E53" s="57">
        <v>51454</v>
      </c>
      <c r="F53" s="56">
        <f t="shared" si="1"/>
        <v>20.025686930800966</v>
      </c>
      <c r="G53" s="55"/>
      <c r="H53" s="43"/>
      <c r="I53" s="102">
        <f t="shared" si="4"/>
        <v>1.1440754001525495</v>
      </c>
      <c r="J53" s="43"/>
      <c r="K53" s="45">
        <f t="shared" si="3"/>
        <v>913.1665505226481</v>
      </c>
      <c r="L53" s="43"/>
    </row>
    <row r="54" spans="1:12" ht="12.75">
      <c r="A54" s="55" t="s">
        <v>403</v>
      </c>
      <c r="B54" s="57">
        <v>858.8</v>
      </c>
      <c r="C54" s="57">
        <v>9384.6</v>
      </c>
      <c r="D54" s="56">
        <f t="shared" si="2"/>
        <v>10.927573358174197</v>
      </c>
      <c r="E54" s="57">
        <v>17200.9</v>
      </c>
      <c r="F54" s="56">
        <f t="shared" si="1"/>
        <v>20.02899394503959</v>
      </c>
      <c r="G54" s="55"/>
      <c r="H54" s="43"/>
      <c r="I54" s="102">
        <f t="shared" si="4"/>
        <v>0.3823974288359187</v>
      </c>
      <c r="J54" s="43"/>
      <c r="K54" s="45">
        <f t="shared" si="3"/>
        <v>305.21811846689894</v>
      </c>
      <c r="L54" s="43"/>
    </row>
    <row r="55" spans="1:12" ht="12.75">
      <c r="A55" s="55" t="s">
        <v>235</v>
      </c>
      <c r="B55" s="57">
        <v>81.8</v>
      </c>
      <c r="C55" s="57">
        <v>662.7</v>
      </c>
      <c r="D55" s="56">
        <f t="shared" si="2"/>
        <v>8.101466992665037</v>
      </c>
      <c r="E55" s="57">
        <v>1638.5</v>
      </c>
      <c r="F55" s="56">
        <f t="shared" si="1"/>
        <v>20.030562347188265</v>
      </c>
      <c r="G55" s="55"/>
      <c r="H55" s="43"/>
      <c r="I55" s="102">
        <f t="shared" si="4"/>
        <v>0.03642304340798574</v>
      </c>
      <c r="J55" s="43"/>
      <c r="K55" s="45">
        <f t="shared" si="3"/>
        <v>29.07177700348432</v>
      </c>
      <c r="L55" s="43"/>
    </row>
    <row r="56" spans="1:12" ht="12.75">
      <c r="A56" s="55" t="s">
        <v>236</v>
      </c>
      <c r="B56" s="57">
        <v>2678.3</v>
      </c>
      <c r="C56" s="57">
        <v>50591.3</v>
      </c>
      <c r="D56" s="56">
        <f t="shared" si="2"/>
        <v>18.889332785722285</v>
      </c>
      <c r="E56" s="57">
        <v>53635.6</v>
      </c>
      <c r="F56" s="56">
        <f t="shared" si="1"/>
        <v>20.025986633312172</v>
      </c>
      <c r="G56" s="55"/>
      <c r="H56" s="43"/>
      <c r="I56" s="102">
        <f t="shared" si="4"/>
        <v>1.192565246449978</v>
      </c>
      <c r="J56" s="43"/>
      <c r="K56" s="45">
        <f t="shared" si="3"/>
        <v>951.8696864111498</v>
      </c>
      <c r="L56" s="43"/>
    </row>
    <row r="57" spans="1:12" ht="12.75">
      <c r="A57" s="55" t="s">
        <v>237</v>
      </c>
      <c r="B57" s="57">
        <v>107978.7</v>
      </c>
      <c r="C57" s="57">
        <v>47412.2</v>
      </c>
      <c r="D57" s="56">
        <f t="shared" si="2"/>
        <v>0.4390884498516837</v>
      </c>
      <c r="E57" s="57">
        <v>61568.6</v>
      </c>
      <c r="F57" s="56">
        <f t="shared" si="1"/>
        <v>0.570192084179565</v>
      </c>
      <c r="G57" s="55"/>
      <c r="H57" s="43"/>
      <c r="I57" s="102">
        <f t="shared" si="4"/>
        <v>48.079619526135325</v>
      </c>
      <c r="J57" s="43"/>
      <c r="K57" s="45">
        <f t="shared" si="3"/>
        <v>38375.70522648084</v>
      </c>
      <c r="L57" s="43"/>
    </row>
    <row r="58" spans="1:12" ht="12.75">
      <c r="A58" s="55" t="s">
        <v>238</v>
      </c>
      <c r="B58" s="57">
        <v>25080</v>
      </c>
      <c r="C58" s="57">
        <v>12739.2</v>
      </c>
      <c r="D58" s="56">
        <f t="shared" si="2"/>
        <v>0.5079425837320575</v>
      </c>
      <c r="E58" s="57">
        <v>14431.1</v>
      </c>
      <c r="F58" s="56">
        <f t="shared" si="1"/>
        <v>0.575402711323764</v>
      </c>
      <c r="G58" s="55"/>
      <c r="H58" s="43"/>
      <c r="I58" s="102">
        <f t="shared" si="4"/>
        <v>11.167358541225946</v>
      </c>
      <c r="J58" s="43"/>
      <c r="K58" s="45">
        <f t="shared" si="3"/>
        <v>8913.449477351916</v>
      </c>
      <c r="L58" s="43"/>
    </row>
    <row r="59" spans="1:12" ht="12.75">
      <c r="A59" s="55" t="s">
        <v>543</v>
      </c>
      <c r="B59" s="57">
        <v>5375.3</v>
      </c>
      <c r="C59" s="57">
        <v>4588.6</v>
      </c>
      <c r="D59" s="56">
        <f t="shared" si="2"/>
        <v>0.8536453779323945</v>
      </c>
      <c r="E59" s="57">
        <v>6089.8</v>
      </c>
      <c r="F59" s="56">
        <f t="shared" si="1"/>
        <v>1.132922813610403</v>
      </c>
      <c r="G59" s="55"/>
      <c r="H59" s="43"/>
      <c r="I59" s="102">
        <f t="shared" si="4"/>
        <v>2.393457032163151</v>
      </c>
      <c r="J59" s="43"/>
      <c r="K59" s="45">
        <f t="shared" si="3"/>
        <v>1910.3853658536586</v>
      </c>
      <c r="L59" s="43"/>
    </row>
    <row r="60" spans="1:12" ht="12.75">
      <c r="A60" s="55" t="s">
        <v>544</v>
      </c>
      <c r="B60" s="57">
        <v>110</v>
      </c>
      <c r="C60" s="57">
        <v>33</v>
      </c>
      <c r="D60" s="56">
        <f t="shared" si="2"/>
        <v>0.3</v>
      </c>
      <c r="E60" s="57">
        <v>66</v>
      </c>
      <c r="F60" s="56">
        <f t="shared" si="1"/>
        <v>0.6</v>
      </c>
      <c r="G60" s="55"/>
      <c r="H60" s="43"/>
      <c r="I60" s="102">
        <f t="shared" si="4"/>
        <v>0.0489796427246752</v>
      </c>
      <c r="J60" s="43"/>
      <c r="K60" s="45">
        <f t="shared" si="3"/>
        <v>39.09407665505226</v>
      </c>
      <c r="L60" s="43"/>
    </row>
    <row r="61" spans="1:12" ht="25.5">
      <c r="A61" s="55" t="s">
        <v>545</v>
      </c>
      <c r="B61" s="57">
        <v>8.9</v>
      </c>
      <c r="C61" s="57">
        <v>25.2</v>
      </c>
      <c r="D61" s="56">
        <f t="shared" si="2"/>
        <v>2.831460674157303</v>
      </c>
      <c r="E61" s="57">
        <v>48.4</v>
      </c>
      <c r="F61" s="56">
        <f t="shared" si="1"/>
        <v>5.438202247191011</v>
      </c>
      <c r="G61" s="66" t="s">
        <v>1344</v>
      </c>
      <c r="H61" s="43"/>
      <c r="I61" s="102">
        <f t="shared" si="4"/>
        <v>0.003962898365905539</v>
      </c>
      <c r="J61" s="43"/>
      <c r="K61" s="45">
        <f t="shared" si="3"/>
        <v>3.1630662020905924</v>
      </c>
      <c r="L61" s="43"/>
    </row>
    <row r="62" spans="1:12" ht="25.5">
      <c r="A62" s="55" t="s">
        <v>546</v>
      </c>
      <c r="B62" s="57">
        <v>38.4</v>
      </c>
      <c r="C62" s="57">
        <v>3.5</v>
      </c>
      <c r="D62" s="56">
        <f t="shared" si="2"/>
        <v>0.09114583333333334</v>
      </c>
      <c r="E62" s="57">
        <v>23</v>
      </c>
      <c r="F62" s="56">
        <f t="shared" si="1"/>
        <v>0.5989583333333334</v>
      </c>
      <c r="G62" s="66" t="s">
        <v>1344</v>
      </c>
      <c r="H62" s="43"/>
      <c r="I62" s="102">
        <f t="shared" si="4"/>
        <v>0.017098348005704794</v>
      </c>
      <c r="J62" s="43"/>
      <c r="K62" s="45">
        <f t="shared" si="3"/>
        <v>13.647386759581881</v>
      </c>
      <c r="L62" s="43"/>
    </row>
    <row r="63" spans="1:12" ht="12.75">
      <c r="A63" s="55" t="s">
        <v>547</v>
      </c>
      <c r="B63" s="57">
        <v>805.9</v>
      </c>
      <c r="C63" s="57">
        <v>13768.3</v>
      </c>
      <c r="D63" s="56">
        <f t="shared" si="2"/>
        <v>17.08437771435662</v>
      </c>
      <c r="E63" s="57">
        <v>15719.1</v>
      </c>
      <c r="F63" s="56">
        <f t="shared" si="1"/>
        <v>19.505025437399183</v>
      </c>
      <c r="G63" s="55"/>
      <c r="H63" s="43"/>
      <c r="I63" s="102">
        <f t="shared" si="4"/>
        <v>0.3588426733801431</v>
      </c>
      <c r="J63" s="43"/>
      <c r="K63" s="45">
        <f t="shared" si="3"/>
        <v>286.41742160278744</v>
      </c>
      <c r="L63" s="43"/>
    </row>
    <row r="64" spans="1:12" ht="25.5">
      <c r="A64" s="55" t="s">
        <v>548</v>
      </c>
      <c r="B64" s="57">
        <v>1684.1</v>
      </c>
      <c r="C64" s="57">
        <v>5889.1</v>
      </c>
      <c r="D64" s="56">
        <f t="shared" si="2"/>
        <v>3.4968826079211452</v>
      </c>
      <c r="E64" s="57">
        <v>7916.4</v>
      </c>
      <c r="F64" s="56">
        <f t="shared" si="1"/>
        <v>4.700670981533163</v>
      </c>
      <c r="G64" s="66" t="s">
        <v>1344</v>
      </c>
      <c r="H64" s="43"/>
      <c r="I64" s="102">
        <f t="shared" si="4"/>
        <v>0.7498783301147772</v>
      </c>
      <c r="J64" s="43"/>
      <c r="K64" s="45">
        <f t="shared" si="3"/>
        <v>598.5303135888502</v>
      </c>
      <c r="L64" s="43"/>
    </row>
    <row r="65" spans="1:12" ht="38.25" customHeight="1">
      <c r="A65" s="66" t="s">
        <v>663</v>
      </c>
      <c r="B65" s="78">
        <v>646.2</v>
      </c>
      <c r="C65" s="78">
        <v>320.3</v>
      </c>
      <c r="D65" s="79">
        <f t="shared" si="2"/>
        <v>0.4956669761683689</v>
      </c>
      <c r="E65" s="78">
        <v>404.6</v>
      </c>
      <c r="F65" s="79">
        <f t="shared" si="1"/>
        <v>0.6261219436706902</v>
      </c>
      <c r="G65" s="74" t="s">
        <v>53</v>
      </c>
      <c r="H65" s="43"/>
      <c r="I65" s="102">
        <f t="shared" si="4"/>
        <v>0.28773313753350105</v>
      </c>
      <c r="J65" s="43"/>
      <c r="K65" s="45">
        <f t="shared" si="3"/>
        <v>229.6599303135889</v>
      </c>
      <c r="L65" s="43"/>
    </row>
    <row r="66" spans="1:12" ht="39.75" customHeight="1">
      <c r="A66" s="66" t="s">
        <v>662</v>
      </c>
      <c r="B66" s="78">
        <v>119.8</v>
      </c>
      <c r="C66" s="78">
        <v>1868.5</v>
      </c>
      <c r="D66" s="79">
        <f t="shared" si="2"/>
        <v>15.596828046744575</v>
      </c>
      <c r="E66" s="78">
        <v>2335.7</v>
      </c>
      <c r="F66" s="79">
        <f t="shared" si="1"/>
        <v>19.49666110183639</v>
      </c>
      <c r="G66" s="74" t="s">
        <v>54</v>
      </c>
      <c r="H66" s="43"/>
      <c r="I66" s="102">
        <f t="shared" si="4"/>
        <v>0.053343283621964444</v>
      </c>
      <c r="J66" s="43"/>
      <c r="K66" s="45">
        <f t="shared" si="3"/>
        <v>42.57700348432056</v>
      </c>
      <c r="L66" s="43"/>
    </row>
    <row r="67" spans="1:12" ht="25.5">
      <c r="A67" s="55" t="s">
        <v>1385</v>
      </c>
      <c r="B67" s="57">
        <v>45705.8</v>
      </c>
      <c r="C67" s="57">
        <v>123441.7</v>
      </c>
      <c r="D67" s="56">
        <f t="shared" si="2"/>
        <v>2.700788521369279</v>
      </c>
      <c r="E67" s="57">
        <v>150845.2</v>
      </c>
      <c r="F67" s="56">
        <f t="shared" si="1"/>
        <v>3.30035137772449</v>
      </c>
      <c r="G67" s="66" t="s">
        <v>1344</v>
      </c>
      <c r="H67" s="43"/>
      <c r="I67" s="102">
        <f t="shared" si="4"/>
        <v>20.351397767686</v>
      </c>
      <c r="J67" s="43"/>
      <c r="K67" s="45">
        <f t="shared" si="3"/>
        <v>16243.873170731707</v>
      </c>
      <c r="L67" s="43"/>
    </row>
    <row r="68" spans="1:12" ht="25.5">
      <c r="A68" s="55" t="s">
        <v>1386</v>
      </c>
      <c r="B68" s="57">
        <v>24790.4</v>
      </c>
      <c r="C68" s="57">
        <v>53223.6</v>
      </c>
      <c r="D68" s="56">
        <f t="shared" si="2"/>
        <v>2.146943978314186</v>
      </c>
      <c r="E68" s="57">
        <v>81808.2</v>
      </c>
      <c r="F68" s="56">
        <f t="shared" si="1"/>
        <v>3.299995159416548</v>
      </c>
      <c r="G68" s="66" t="s">
        <v>1344</v>
      </c>
      <c r="H68" s="43"/>
      <c r="I68" s="102">
        <f t="shared" si="4"/>
        <v>11.038408500016256</v>
      </c>
      <c r="J68" s="43"/>
      <c r="K68" s="45">
        <f t="shared" si="3"/>
        <v>8810.52543554007</v>
      </c>
      <c r="L68" s="43"/>
    </row>
    <row r="69" spans="1:12" ht="25.5">
      <c r="A69" s="55" t="s">
        <v>551</v>
      </c>
      <c r="B69" s="57">
        <v>264.1</v>
      </c>
      <c r="C69" s="57">
        <v>132.1</v>
      </c>
      <c r="D69" s="56">
        <f t="shared" si="2"/>
        <v>0.5001893222264293</v>
      </c>
      <c r="E69" s="57">
        <v>150.6</v>
      </c>
      <c r="F69" s="56">
        <f t="shared" si="1"/>
        <v>0.570238546005301</v>
      </c>
      <c r="G69" s="66" t="s">
        <v>1344</v>
      </c>
      <c r="H69" s="43"/>
      <c r="I69" s="102">
        <f t="shared" si="4"/>
        <v>0.117595669487152</v>
      </c>
      <c r="J69" s="43"/>
      <c r="K69" s="45">
        <f t="shared" si="3"/>
        <v>93.86132404181186</v>
      </c>
      <c r="L69" s="43"/>
    </row>
    <row r="70" spans="1:12" ht="12.75">
      <c r="A70" s="55" t="s">
        <v>552</v>
      </c>
      <c r="B70" s="57">
        <v>71.6</v>
      </c>
      <c r="C70" s="57">
        <v>666.3</v>
      </c>
      <c r="D70" s="56">
        <f t="shared" si="2"/>
        <v>9.30586592178771</v>
      </c>
      <c r="E70" s="57">
        <v>931.4</v>
      </c>
      <c r="F70" s="56">
        <f t="shared" si="1"/>
        <v>13.008379888268157</v>
      </c>
      <c r="G70" s="55"/>
      <c r="H70" s="43"/>
      <c r="I70" s="102">
        <f t="shared" si="4"/>
        <v>0.031881294718970395</v>
      </c>
      <c r="J70" s="43"/>
      <c r="K70" s="45">
        <f t="shared" si="3"/>
        <v>25.44668989547038</v>
      </c>
      <c r="L70" s="43"/>
    </row>
    <row r="71" spans="1:12" ht="36.75" customHeight="1">
      <c r="A71" s="55" t="s">
        <v>553</v>
      </c>
      <c r="B71" s="57">
        <v>112</v>
      </c>
      <c r="C71" s="57">
        <v>645.1</v>
      </c>
      <c r="D71" s="56">
        <f t="shared" si="2"/>
        <v>5.759821428571429</v>
      </c>
      <c r="E71" s="57">
        <v>1322</v>
      </c>
      <c r="F71" s="56">
        <f t="shared" si="1"/>
        <v>11.803571428571429</v>
      </c>
      <c r="G71" s="66" t="s">
        <v>1344</v>
      </c>
      <c r="H71" s="74" t="s">
        <v>822</v>
      </c>
      <c r="I71" s="102">
        <f t="shared" si="4"/>
        <v>0.049870181683305655</v>
      </c>
      <c r="J71" s="43"/>
      <c r="K71" s="45">
        <f t="shared" si="3"/>
        <v>39.80487804878049</v>
      </c>
      <c r="L71" s="43"/>
    </row>
    <row r="72" spans="1:12" ht="12.75">
      <c r="A72" s="48" t="s">
        <v>554</v>
      </c>
      <c r="B72" s="53"/>
      <c r="C72" s="53">
        <v>1</v>
      </c>
      <c r="D72" s="54"/>
      <c r="E72" s="53">
        <v>1</v>
      </c>
      <c r="F72" s="54"/>
      <c r="G72" s="43"/>
      <c r="H72" s="43"/>
      <c r="I72" s="43"/>
      <c r="J72" s="43"/>
      <c r="K72" s="45"/>
      <c r="L72" s="43"/>
    </row>
    <row r="73" spans="1:12" ht="12.75">
      <c r="A73" s="42" t="s">
        <v>555</v>
      </c>
      <c r="B73" s="50">
        <f>SUM(B45:B72)</f>
        <v>224583.09999999995</v>
      </c>
      <c r="C73" s="50">
        <f>SUM(C45:C72)</f>
        <v>377780.3999999999</v>
      </c>
      <c r="D73" s="50" t="s">
        <v>556</v>
      </c>
      <c r="E73" s="50">
        <f>SUM(E45:E72)</f>
        <v>487501.2</v>
      </c>
      <c r="F73" s="50" t="s">
        <v>556</v>
      </c>
      <c r="G73" s="43"/>
      <c r="H73" s="43"/>
      <c r="I73" s="102">
        <f>SUM(I45:I71)</f>
        <v>100.00000000000004</v>
      </c>
      <c r="J73" s="43"/>
      <c r="K73" s="45">
        <f>SUM(K45:K71)</f>
        <v>79816.99024390244</v>
      </c>
      <c r="L73" s="43"/>
    </row>
    <row r="74" spans="1:12" ht="12.75">
      <c r="A74" s="43"/>
      <c r="B74" s="45"/>
      <c r="C74" s="45"/>
      <c r="D74" s="46"/>
      <c r="E74" s="45"/>
      <c r="F74" s="46"/>
      <c r="G74" s="43"/>
      <c r="H74" s="43"/>
      <c r="I74" s="43"/>
      <c r="J74" s="43"/>
      <c r="K74" s="43"/>
      <c r="L74" s="43"/>
    </row>
    <row r="75" spans="1:12" ht="18">
      <c r="A75" s="65" t="s">
        <v>467</v>
      </c>
      <c r="B75" s="45"/>
      <c r="C75" s="45"/>
      <c r="D75" s="46"/>
      <c r="E75" s="45"/>
      <c r="F75" s="46"/>
      <c r="G75" s="43"/>
      <c r="H75" s="43"/>
      <c r="I75" s="43"/>
      <c r="J75" s="43"/>
      <c r="K75" s="43"/>
      <c r="L75" s="43"/>
    </row>
    <row r="76" spans="1:12" ht="55.5" customHeight="1">
      <c r="A76" s="44" t="s">
        <v>494</v>
      </c>
      <c r="B76" s="44" t="s">
        <v>496</v>
      </c>
      <c r="C76" s="44" t="s">
        <v>36</v>
      </c>
      <c r="D76" s="44" t="s">
        <v>37</v>
      </c>
      <c r="E76" s="44" t="s">
        <v>41</v>
      </c>
      <c r="F76" s="44" t="s">
        <v>42</v>
      </c>
      <c r="G76" s="43"/>
      <c r="H76" s="43"/>
      <c r="I76" s="55" t="s">
        <v>1404</v>
      </c>
      <c r="J76" s="43"/>
      <c r="K76" s="55" t="s">
        <v>1405</v>
      </c>
      <c r="L76" s="55" t="s">
        <v>1407</v>
      </c>
    </row>
    <row r="77" spans="1:12" ht="12.75">
      <c r="A77" s="55" t="s">
        <v>236</v>
      </c>
      <c r="B77" s="57">
        <v>24800.3</v>
      </c>
      <c r="C77" s="57">
        <v>466407.7</v>
      </c>
      <c r="D77" s="56">
        <f aca="true" t="shared" si="5" ref="D77:D84">(C77/B77)</f>
        <v>18.806534598371794</v>
      </c>
      <c r="E77" s="57">
        <v>496650.3</v>
      </c>
      <c r="F77" s="56">
        <f>(E77/B77)</f>
        <v>20.025979524441237</v>
      </c>
      <c r="G77" s="55"/>
      <c r="H77" s="43"/>
      <c r="I77" s="102">
        <f>(B77/$B$95)*100</f>
        <v>38.592000348568696</v>
      </c>
      <c r="J77" s="43"/>
      <c r="K77" s="45">
        <f>(B77*777135/4430000)</f>
        <v>4350.605223589165</v>
      </c>
      <c r="L77" s="43"/>
    </row>
    <row r="78" spans="1:12" ht="12.75">
      <c r="A78" s="55" t="s">
        <v>547</v>
      </c>
      <c r="B78" s="57">
        <v>33330.6</v>
      </c>
      <c r="C78" s="57">
        <v>552329.9</v>
      </c>
      <c r="D78" s="56">
        <f t="shared" si="5"/>
        <v>16.571255842979127</v>
      </c>
      <c r="E78" s="57">
        <v>649545.1</v>
      </c>
      <c r="F78" s="56">
        <f>(E78/B78)</f>
        <v>19.487951011982982</v>
      </c>
      <c r="G78" s="55"/>
      <c r="H78" s="43"/>
      <c r="I78" s="102">
        <f>(B78/$B$95)*100</f>
        <v>51.86608737870122</v>
      </c>
      <c r="J78" s="43"/>
      <c r="K78" s="45">
        <f aca="true" t="shared" si="6" ref="K78:K85">(B78*777135/4430000)</f>
        <v>5847.037433634311</v>
      </c>
      <c r="L78" s="43"/>
    </row>
    <row r="79" spans="1:12" ht="12.75">
      <c r="A79" s="55" t="s">
        <v>661</v>
      </c>
      <c r="B79" s="57"/>
      <c r="C79" s="57">
        <v>23072.7</v>
      </c>
      <c r="D79" s="56"/>
      <c r="E79" s="57">
        <v>23917</v>
      </c>
      <c r="F79" s="56"/>
      <c r="G79" s="55"/>
      <c r="H79" s="43"/>
      <c r="I79" s="102">
        <f aca="true" t="shared" si="7" ref="I79:I85">(B79/$B$95)*100</f>
        <v>0</v>
      </c>
      <c r="J79" s="43"/>
      <c r="K79" s="45">
        <f t="shared" si="6"/>
        <v>0</v>
      </c>
      <c r="L79" s="43"/>
    </row>
    <row r="80" spans="1:12" ht="51" customHeight="1">
      <c r="A80" s="66" t="s">
        <v>664</v>
      </c>
      <c r="B80" s="78">
        <v>1532.1</v>
      </c>
      <c r="C80" s="78">
        <v>23896</v>
      </c>
      <c r="D80" s="79">
        <f t="shared" si="5"/>
        <v>15.596893153188436</v>
      </c>
      <c r="E80" s="78">
        <v>29863.7</v>
      </c>
      <c r="F80" s="79">
        <f>(E80/B80)</f>
        <v>19.49200443835259</v>
      </c>
      <c r="G80" s="66" t="s">
        <v>54</v>
      </c>
      <c r="H80" s="43"/>
      <c r="I80" s="102">
        <f t="shared" si="7"/>
        <v>2.3841164717379266</v>
      </c>
      <c r="J80" s="43"/>
      <c r="K80" s="45">
        <f t="shared" si="6"/>
        <v>268.76942065462754</v>
      </c>
      <c r="L80" s="43"/>
    </row>
    <row r="81" spans="1:12" ht="12.75">
      <c r="A81" s="55" t="s">
        <v>552</v>
      </c>
      <c r="B81" s="57">
        <v>1096.6</v>
      </c>
      <c r="C81" s="57">
        <v>14097.6</v>
      </c>
      <c r="D81" s="56">
        <f t="shared" si="5"/>
        <v>12.85573591099763</v>
      </c>
      <c r="E81" s="57">
        <v>18715.5</v>
      </c>
      <c r="F81" s="56">
        <f>(E81/B81)</f>
        <v>17.066842969177458</v>
      </c>
      <c r="G81" s="55"/>
      <c r="H81" s="43"/>
      <c r="I81" s="102">
        <f t="shared" si="7"/>
        <v>1.706430469883043</v>
      </c>
      <c r="J81" s="43"/>
      <c r="K81" s="45">
        <f t="shared" si="6"/>
        <v>192.3716119638826</v>
      </c>
      <c r="L81" s="43"/>
    </row>
    <row r="82" spans="1:12" ht="25.5">
      <c r="A82" s="55" t="s">
        <v>665</v>
      </c>
      <c r="B82" s="57">
        <v>604</v>
      </c>
      <c r="C82" s="57">
        <v>10525</v>
      </c>
      <c r="D82" s="56">
        <f t="shared" si="5"/>
        <v>17.42549668874172</v>
      </c>
      <c r="E82" s="57">
        <v>11446.4</v>
      </c>
      <c r="F82" s="57">
        <f>(E82/B82)</f>
        <v>18.950993377483442</v>
      </c>
      <c r="G82" s="66" t="s">
        <v>1345</v>
      </c>
      <c r="H82" s="43"/>
      <c r="I82" s="102">
        <f t="shared" si="7"/>
        <v>0.9398905743291611</v>
      </c>
      <c r="J82" s="43"/>
      <c r="K82" s="45">
        <f t="shared" si="6"/>
        <v>105.95700677200902</v>
      </c>
      <c r="L82" s="43"/>
    </row>
    <row r="83" spans="1:12" ht="25.5">
      <c r="A83" s="55" t="s">
        <v>666</v>
      </c>
      <c r="B83" s="57">
        <v>250</v>
      </c>
      <c r="C83" s="57">
        <v>4358</v>
      </c>
      <c r="D83" s="56">
        <f t="shared" si="5"/>
        <v>17.432</v>
      </c>
      <c r="E83" s="57">
        <v>4739.5</v>
      </c>
      <c r="F83" s="57">
        <f>(E83/B83)</f>
        <v>18.958</v>
      </c>
      <c r="G83" s="66" t="s">
        <v>1345</v>
      </c>
      <c r="H83" s="43"/>
      <c r="I83" s="102">
        <f t="shared" si="7"/>
        <v>0.38902755559981833</v>
      </c>
      <c r="J83" s="43"/>
      <c r="K83" s="45">
        <f t="shared" si="6"/>
        <v>43.8563769751693</v>
      </c>
      <c r="L83" s="43"/>
    </row>
    <row r="84" spans="1:12" ht="25.5">
      <c r="A84" s="55" t="s">
        <v>553</v>
      </c>
      <c r="B84" s="57">
        <v>3</v>
      </c>
      <c r="C84" s="57">
        <v>17.3</v>
      </c>
      <c r="D84" s="56">
        <f t="shared" si="5"/>
        <v>5.766666666666667</v>
      </c>
      <c r="E84" s="57">
        <v>35.6</v>
      </c>
      <c r="F84" s="56">
        <f>(E84/B84)</f>
        <v>11.866666666666667</v>
      </c>
      <c r="G84" s="66" t="s">
        <v>1344</v>
      </c>
      <c r="H84" s="43"/>
      <c r="I84" s="102">
        <f t="shared" si="7"/>
        <v>0.00466833066719782</v>
      </c>
      <c r="J84" s="43"/>
      <c r="K84" s="45">
        <f t="shared" si="6"/>
        <v>0.5262765237020316</v>
      </c>
      <c r="L84" s="43"/>
    </row>
    <row r="85" spans="1:12" ht="38.25">
      <c r="A85" s="66" t="s">
        <v>554</v>
      </c>
      <c r="B85" s="66">
        <v>0</v>
      </c>
      <c r="C85" s="78">
        <v>6111</v>
      </c>
      <c r="D85" s="66" t="s">
        <v>556</v>
      </c>
      <c r="E85" s="78">
        <v>6111</v>
      </c>
      <c r="F85" s="66" t="s">
        <v>556</v>
      </c>
      <c r="G85" s="66" t="s">
        <v>164</v>
      </c>
      <c r="H85" s="43"/>
      <c r="I85" s="102">
        <f t="shared" si="7"/>
        <v>0</v>
      </c>
      <c r="J85" s="43"/>
      <c r="K85" s="45">
        <f t="shared" si="6"/>
        <v>0</v>
      </c>
      <c r="L85" s="43"/>
    </row>
    <row r="86" spans="1:12" ht="12.75">
      <c r="A86" s="44" t="s">
        <v>667</v>
      </c>
      <c r="B86" s="80">
        <f>SUM(B77:B85)</f>
        <v>61616.59999999999</v>
      </c>
      <c r="C86" s="80">
        <f>SUM(C77:C85)</f>
        <v>1100815.2000000002</v>
      </c>
      <c r="D86" s="44" t="s">
        <v>556</v>
      </c>
      <c r="E86" s="80">
        <f>SUM(E77:E85)</f>
        <v>1241024.0999999999</v>
      </c>
      <c r="F86" s="44" t="s">
        <v>556</v>
      </c>
      <c r="G86" s="55"/>
      <c r="H86" s="43"/>
      <c r="I86" s="102"/>
      <c r="J86" s="43"/>
      <c r="K86" s="45"/>
      <c r="L86" s="43"/>
    </row>
    <row r="87" spans="1:12" ht="12.75">
      <c r="A87" s="42"/>
      <c r="B87" s="50"/>
      <c r="C87" s="50"/>
      <c r="D87" s="42"/>
      <c r="E87" s="50"/>
      <c r="F87" s="42"/>
      <c r="G87" s="43"/>
      <c r="H87" s="43"/>
      <c r="I87" s="43"/>
      <c r="J87" s="43"/>
      <c r="K87" s="45"/>
      <c r="L87" s="43"/>
    </row>
    <row r="88" spans="1:12" ht="18">
      <c r="A88" s="65" t="s">
        <v>468</v>
      </c>
      <c r="B88" s="43"/>
      <c r="C88" s="43"/>
      <c r="D88" s="43"/>
      <c r="E88" s="43"/>
      <c r="F88" s="43"/>
      <c r="G88" s="43"/>
      <c r="H88" s="43"/>
      <c r="I88" s="43"/>
      <c r="J88" s="43"/>
      <c r="K88" s="45"/>
      <c r="L88" s="43"/>
    </row>
    <row r="89" spans="1:12" ht="53.25" customHeight="1">
      <c r="A89" s="44" t="s">
        <v>494</v>
      </c>
      <c r="B89" s="44" t="s">
        <v>496</v>
      </c>
      <c r="C89" s="44" t="s">
        <v>36</v>
      </c>
      <c r="D89" s="44" t="s">
        <v>37</v>
      </c>
      <c r="E89" s="44" t="s">
        <v>41</v>
      </c>
      <c r="F89" s="44" t="s">
        <v>42</v>
      </c>
      <c r="G89" s="43"/>
      <c r="H89" s="43"/>
      <c r="I89" s="43"/>
      <c r="J89" s="43"/>
      <c r="K89" s="45"/>
      <c r="L89" s="43"/>
    </row>
    <row r="90" spans="1:12" ht="12.75">
      <c r="A90" s="81" t="s">
        <v>607</v>
      </c>
      <c r="B90" s="57">
        <v>2421</v>
      </c>
      <c r="C90" s="57">
        <v>460.7</v>
      </c>
      <c r="D90" s="56">
        <f>(C90/B90)</f>
        <v>0.1902932672449401</v>
      </c>
      <c r="E90" s="57">
        <v>508.4</v>
      </c>
      <c r="F90" s="56">
        <f>(E90/B90)</f>
        <v>0.20999586947542337</v>
      </c>
      <c r="G90" s="55"/>
      <c r="H90" s="43"/>
      <c r="I90" s="102">
        <f>(B90/$B$95)*100</f>
        <v>3.7673428484286404</v>
      </c>
      <c r="J90" s="43"/>
      <c r="K90" s="45">
        <f>(B90*777135/4430000)</f>
        <v>424.7051546275395</v>
      </c>
      <c r="L90" s="43"/>
    </row>
    <row r="91" spans="1:12" ht="12.75">
      <c r="A91" s="82" t="s">
        <v>668</v>
      </c>
      <c r="B91" s="57">
        <v>87</v>
      </c>
      <c r="C91" s="57">
        <v>1420.7</v>
      </c>
      <c r="D91" s="56">
        <f>(C91/B91)</f>
        <v>16.329885057471266</v>
      </c>
      <c r="E91" s="57">
        <v>3229.5</v>
      </c>
      <c r="F91" s="56">
        <f>(E91/B91)</f>
        <v>37.12068965517241</v>
      </c>
      <c r="G91" s="55"/>
      <c r="H91" s="43"/>
      <c r="I91" s="102">
        <f>(B91/$B$95)*100</f>
        <v>0.13538158934873679</v>
      </c>
      <c r="J91" s="43"/>
      <c r="K91" s="45">
        <f>(B91*777135/4430000)</f>
        <v>15.262019187358916</v>
      </c>
      <c r="L91" s="43"/>
    </row>
    <row r="92" spans="1:12" ht="12.75">
      <c r="A92" s="82" t="s">
        <v>669</v>
      </c>
      <c r="B92" s="57">
        <v>138.2</v>
      </c>
      <c r="C92" s="57">
        <v>3677.3</v>
      </c>
      <c r="D92" s="56">
        <f>(C92/B92)</f>
        <v>26.60853835021708</v>
      </c>
      <c r="E92" s="57">
        <v>3677.3</v>
      </c>
      <c r="F92" s="56">
        <f>(E92/B92)</f>
        <v>26.60853835021708</v>
      </c>
      <c r="G92" s="55"/>
      <c r="H92" s="43"/>
      <c r="I92" s="102">
        <f>(B92/$B$95)*100</f>
        <v>0.21505443273557956</v>
      </c>
      <c r="J92" s="43"/>
      <c r="K92" s="45">
        <f>(B92*777135/4430000)</f>
        <v>24.243805191873587</v>
      </c>
      <c r="L92" s="43"/>
    </row>
    <row r="93" spans="1:12" ht="12.75">
      <c r="A93" s="44" t="s">
        <v>111</v>
      </c>
      <c r="B93" s="80">
        <f>(B92+B91+B90+B86)</f>
        <v>64262.79999999999</v>
      </c>
      <c r="C93" s="80">
        <f>(C92+C91+C90+C86)</f>
        <v>1106373.9000000001</v>
      </c>
      <c r="D93" s="44" t="s">
        <v>556</v>
      </c>
      <c r="E93" s="80">
        <f>(E92+E91+E90+E86)</f>
        <v>1248439.2999999998</v>
      </c>
      <c r="F93" s="44" t="s">
        <v>556</v>
      </c>
      <c r="G93" s="55"/>
      <c r="H93" s="43"/>
      <c r="I93" s="43"/>
      <c r="J93" s="43"/>
      <c r="K93" s="45"/>
      <c r="L93" s="43"/>
    </row>
    <row r="94" spans="1:12" ht="12.75">
      <c r="A94" s="66" t="s">
        <v>554</v>
      </c>
      <c r="B94" s="78">
        <v>0</v>
      </c>
      <c r="C94" s="78">
        <v>3297040.9</v>
      </c>
      <c r="D94" s="66" t="s">
        <v>556</v>
      </c>
      <c r="E94" s="78">
        <v>3297040.9</v>
      </c>
      <c r="F94" s="66" t="s">
        <v>556</v>
      </c>
      <c r="G94" s="55"/>
      <c r="H94" s="43"/>
      <c r="I94" s="43"/>
      <c r="J94" s="43"/>
      <c r="K94" s="45"/>
      <c r="L94" s="43"/>
    </row>
    <row r="95" spans="1:12" ht="12.75">
      <c r="A95" s="44" t="s">
        <v>165</v>
      </c>
      <c r="B95" s="80">
        <f>SUM(B93:B94)</f>
        <v>64262.79999999999</v>
      </c>
      <c r="C95" s="80">
        <f>SUM(C93:C94)</f>
        <v>4403414.8</v>
      </c>
      <c r="D95" s="44" t="s">
        <v>556</v>
      </c>
      <c r="E95" s="80">
        <f>SUM(E93:E94)</f>
        <v>4545480.199999999</v>
      </c>
      <c r="F95" s="44" t="s">
        <v>556</v>
      </c>
      <c r="G95" s="55"/>
      <c r="H95" s="43"/>
      <c r="I95" s="102">
        <f>SUM(I77:I92)</f>
        <v>100.00000000000003</v>
      </c>
      <c r="J95" s="43"/>
      <c r="K95" s="45">
        <f>SUM(K77:K92)</f>
        <v>11273.33432911964</v>
      </c>
      <c r="L95" s="43"/>
    </row>
    <row r="96" spans="1:12" ht="12.75">
      <c r="A96" s="83" t="s">
        <v>670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25.5">
      <c r="A98" s="84" t="s">
        <v>608</v>
      </c>
      <c r="B98" s="85">
        <f>(E98/F98)</f>
        <v>15700503.577694729</v>
      </c>
      <c r="C98" s="83"/>
      <c r="D98" s="83"/>
      <c r="E98" s="85">
        <f>(1*E94)</f>
        <v>3297040.9</v>
      </c>
      <c r="F98" s="86">
        <f>(1*F90)</f>
        <v>0.20999586947542337</v>
      </c>
      <c r="G98" s="43"/>
      <c r="H98" s="43"/>
      <c r="I98" s="43"/>
      <c r="J98" s="43"/>
      <c r="K98" s="43"/>
      <c r="L98" s="43"/>
    </row>
    <row r="99" spans="1:12" ht="25.5">
      <c r="A99" s="84" t="s">
        <v>784</v>
      </c>
      <c r="B99" s="85">
        <f>(E99/F99)</f>
        <v>88819.49475150953</v>
      </c>
      <c r="C99" s="83"/>
      <c r="D99" s="83"/>
      <c r="E99" s="85">
        <f>(1*E94)</f>
        <v>3297040.9</v>
      </c>
      <c r="F99" s="86">
        <f>(1*F91)</f>
        <v>37.12068965517241</v>
      </c>
      <c r="G99" s="43"/>
      <c r="H99" s="43"/>
      <c r="I99" s="43"/>
      <c r="J99" s="43"/>
      <c r="K99" s="43"/>
      <c r="L99" s="43"/>
    </row>
    <row r="100" spans="1:12" ht="38.25">
      <c r="A100" s="84" t="s">
        <v>785</v>
      </c>
      <c r="B100" s="85">
        <f>(E100/F100)</f>
        <v>123909.13234710247</v>
      </c>
      <c r="C100" s="83"/>
      <c r="D100" s="83"/>
      <c r="E100" s="85">
        <f>(1*E94)</f>
        <v>3297040.9</v>
      </c>
      <c r="F100" s="86">
        <f>(1*F92)</f>
        <v>26.60853835021708</v>
      </c>
      <c r="G100" s="43"/>
      <c r="H100" s="43"/>
      <c r="I100" s="43"/>
      <c r="J100" s="43"/>
      <c r="K100" s="43"/>
      <c r="L100" s="43"/>
    </row>
    <row r="101" ht="12.75">
      <c r="A101" s="290" t="s">
        <v>885</v>
      </c>
    </row>
    <row r="102" spans="1:6" ht="27" customHeight="1">
      <c r="A102" s="316" t="s">
        <v>886</v>
      </c>
      <c r="B102" s="317"/>
      <c r="C102" s="317"/>
      <c r="D102" s="317"/>
      <c r="E102" s="317"/>
      <c r="F102" s="317"/>
    </row>
    <row r="103" spans="1:6" ht="12.75">
      <c r="A103" s="318" t="s">
        <v>887</v>
      </c>
      <c r="B103" s="319"/>
      <c r="C103" s="319"/>
      <c r="D103" s="319"/>
      <c r="E103" s="319"/>
      <c r="F103" s="319"/>
    </row>
    <row r="104" ht="15.75">
      <c r="A104" s="208" t="s">
        <v>469</v>
      </c>
    </row>
    <row r="105" spans="1:9" ht="39.75" customHeight="1">
      <c r="A105" s="55" t="s">
        <v>360</v>
      </c>
      <c r="B105" s="55" t="s">
        <v>889</v>
      </c>
      <c r="C105" s="55" t="s">
        <v>890</v>
      </c>
      <c r="D105" s="55" t="s">
        <v>891</v>
      </c>
      <c r="E105" s="55" t="s">
        <v>892</v>
      </c>
      <c r="F105" s="55" t="s">
        <v>893</v>
      </c>
      <c r="G105" s="55" t="s">
        <v>894</v>
      </c>
      <c r="H105" s="55" t="s">
        <v>895</v>
      </c>
      <c r="I105" s="55" t="s">
        <v>898</v>
      </c>
    </row>
    <row r="106" spans="1:9" ht="27">
      <c r="A106" s="292" t="s">
        <v>896</v>
      </c>
      <c r="B106" s="293">
        <v>4010</v>
      </c>
      <c r="C106" s="292">
        <v>33.5</v>
      </c>
      <c r="D106" s="293">
        <v>1190</v>
      </c>
      <c r="E106" s="292">
        <v>2.48</v>
      </c>
      <c r="F106" s="292">
        <v>1.06</v>
      </c>
      <c r="G106" s="292">
        <v>0</v>
      </c>
      <c r="H106" s="293">
        <f aca="true" t="shared" si="8" ref="H106:H124">SUM(B106:G106)</f>
        <v>5237.04</v>
      </c>
      <c r="I106" s="294" t="s">
        <v>899</v>
      </c>
    </row>
    <row r="107" spans="1:9" ht="25.5">
      <c r="A107" s="55" t="s">
        <v>897</v>
      </c>
      <c r="B107" s="58">
        <v>4010</v>
      </c>
      <c r="C107" s="55">
        <v>20.5</v>
      </c>
      <c r="D107" s="58">
        <v>1190</v>
      </c>
      <c r="E107" s="55">
        <v>2.48</v>
      </c>
      <c r="F107" s="55">
        <v>1.06</v>
      </c>
      <c r="G107" s="55">
        <v>0</v>
      </c>
      <c r="H107" s="58">
        <f t="shared" si="8"/>
        <v>5224.04</v>
      </c>
      <c r="I107" s="191" t="s">
        <v>899</v>
      </c>
    </row>
    <row r="108" spans="1:9" ht="25.5">
      <c r="A108" s="55" t="s">
        <v>903</v>
      </c>
      <c r="B108" s="58">
        <v>4010</v>
      </c>
      <c r="C108" s="55">
        <v>0</v>
      </c>
      <c r="D108" s="58">
        <v>1190</v>
      </c>
      <c r="E108" s="55">
        <v>1.7</v>
      </c>
      <c r="F108" s="55">
        <v>0.732</v>
      </c>
      <c r="G108" s="55">
        <v>0</v>
      </c>
      <c r="H108" s="58">
        <f t="shared" si="8"/>
        <v>5202.432</v>
      </c>
      <c r="I108" s="191" t="s">
        <v>899</v>
      </c>
    </row>
    <row r="109" spans="1:9" ht="27">
      <c r="A109" s="55" t="s">
        <v>901</v>
      </c>
      <c r="B109" s="55">
        <v>685</v>
      </c>
      <c r="C109" s="55">
        <v>46.9</v>
      </c>
      <c r="D109" s="55">
        <v>629</v>
      </c>
      <c r="E109" s="55">
        <v>0</v>
      </c>
      <c r="F109" s="55">
        <v>14.9</v>
      </c>
      <c r="G109" s="55">
        <v>0</v>
      </c>
      <c r="H109" s="58">
        <f t="shared" si="8"/>
        <v>1375.8000000000002</v>
      </c>
      <c r="I109" s="191" t="s">
        <v>900</v>
      </c>
    </row>
    <row r="110" spans="1:9" ht="25.5">
      <c r="A110" s="55" t="s">
        <v>902</v>
      </c>
      <c r="B110" s="55">
        <v>685</v>
      </c>
      <c r="C110" s="55">
        <v>0</v>
      </c>
      <c r="D110" s="55">
        <v>629</v>
      </c>
      <c r="E110" s="55">
        <v>0</v>
      </c>
      <c r="F110" s="55">
        <v>10.2</v>
      </c>
      <c r="G110" s="55">
        <v>0</v>
      </c>
      <c r="H110" s="58">
        <f t="shared" si="8"/>
        <v>1324.2</v>
      </c>
      <c r="I110" s="191" t="s">
        <v>900</v>
      </c>
    </row>
    <row r="111" spans="1:9" ht="25.5">
      <c r="A111" s="55" t="s">
        <v>902</v>
      </c>
      <c r="B111" s="55">
        <v>685</v>
      </c>
      <c r="C111" s="55">
        <v>0</v>
      </c>
      <c r="D111" s="55">
        <v>629</v>
      </c>
      <c r="E111" s="55">
        <v>2.65</v>
      </c>
      <c r="F111" s="55">
        <v>0</v>
      </c>
      <c r="G111" s="55">
        <v>0</v>
      </c>
      <c r="H111" s="58">
        <f t="shared" si="8"/>
        <v>1316.65</v>
      </c>
      <c r="I111" s="191" t="s">
        <v>900</v>
      </c>
    </row>
    <row r="112" spans="1:9" ht="27">
      <c r="A112" s="298" t="s">
        <v>901</v>
      </c>
      <c r="B112" s="298">
        <v>685</v>
      </c>
      <c r="C112" s="298">
        <v>46.9</v>
      </c>
      <c r="D112" s="298">
        <v>629</v>
      </c>
      <c r="E112" s="298">
        <v>3.46</v>
      </c>
      <c r="F112" s="298">
        <v>1.49</v>
      </c>
      <c r="G112" s="298">
        <v>0</v>
      </c>
      <c r="H112" s="299">
        <f t="shared" si="8"/>
        <v>1365.8500000000001</v>
      </c>
      <c r="I112" s="298" t="s">
        <v>904</v>
      </c>
    </row>
    <row r="113" spans="1:9" ht="27">
      <c r="A113" s="292" t="s">
        <v>905</v>
      </c>
      <c r="B113" s="293">
        <v>5620</v>
      </c>
      <c r="C113" s="292">
        <v>46</v>
      </c>
      <c r="D113" s="293">
        <v>1660</v>
      </c>
      <c r="E113" s="292">
        <v>3.46</v>
      </c>
      <c r="F113" s="292">
        <v>1.49</v>
      </c>
      <c r="G113" s="292">
        <v>0</v>
      </c>
      <c r="H113" s="293">
        <f t="shared" si="8"/>
        <v>7330.95</v>
      </c>
      <c r="I113" s="292" t="s">
        <v>899</v>
      </c>
    </row>
    <row r="114" spans="1:9" ht="25.5">
      <c r="A114" s="298" t="s">
        <v>925</v>
      </c>
      <c r="B114" s="299">
        <v>5620</v>
      </c>
      <c r="C114" s="298">
        <v>0</v>
      </c>
      <c r="D114" s="299">
        <v>1660</v>
      </c>
      <c r="E114" s="298">
        <v>2.38</v>
      </c>
      <c r="F114" s="298">
        <v>1.02</v>
      </c>
      <c r="G114" s="298">
        <v>0</v>
      </c>
      <c r="H114" s="299">
        <f t="shared" si="8"/>
        <v>7283.400000000001</v>
      </c>
      <c r="I114" s="298" t="s">
        <v>927</v>
      </c>
    </row>
    <row r="115" spans="1:9" ht="12.75">
      <c r="A115" s="292" t="s">
        <v>906</v>
      </c>
      <c r="B115" s="293">
        <v>1982</v>
      </c>
      <c r="C115" s="292">
        <v>0</v>
      </c>
      <c r="D115" s="292">
        <v>586</v>
      </c>
      <c r="E115" s="292">
        <v>0.84</v>
      </c>
      <c r="F115" s="292">
        <v>0.36</v>
      </c>
      <c r="G115" s="292">
        <v>0</v>
      </c>
      <c r="H115" s="293">
        <f t="shared" si="8"/>
        <v>2569.2000000000003</v>
      </c>
      <c r="I115" s="292" t="s">
        <v>899</v>
      </c>
    </row>
    <row r="116" spans="1:9" ht="25.5">
      <c r="A116" s="55" t="s">
        <v>908</v>
      </c>
      <c r="B116" s="58">
        <v>3080</v>
      </c>
      <c r="C116" s="55">
        <v>0</v>
      </c>
      <c r="D116" s="58">
        <v>2740</v>
      </c>
      <c r="E116" s="55">
        <v>10.4</v>
      </c>
      <c r="F116" s="55">
        <v>8.52</v>
      </c>
      <c r="G116" s="55">
        <v>0</v>
      </c>
      <c r="H116" s="58">
        <f t="shared" si="8"/>
        <v>5838.92</v>
      </c>
      <c r="I116" s="55" t="s">
        <v>899</v>
      </c>
    </row>
    <row r="117" spans="1:9" ht="30" customHeight="1">
      <c r="A117" s="292" t="s">
        <v>907</v>
      </c>
      <c r="B117" s="293">
        <v>3080</v>
      </c>
      <c r="C117" s="292">
        <v>0</v>
      </c>
      <c r="D117" s="293">
        <v>2740</v>
      </c>
      <c r="E117" s="292">
        <v>0</v>
      </c>
      <c r="F117" s="292">
        <v>91.8</v>
      </c>
      <c r="G117" s="292">
        <v>43.2</v>
      </c>
      <c r="H117" s="293">
        <f t="shared" si="8"/>
        <v>5955</v>
      </c>
      <c r="I117" s="292" t="s">
        <v>899</v>
      </c>
    </row>
    <row r="118" spans="1:9" ht="25.5">
      <c r="A118" s="55" t="s">
        <v>909</v>
      </c>
      <c r="B118" s="58">
        <v>1650</v>
      </c>
      <c r="C118" s="55">
        <v>0</v>
      </c>
      <c r="D118" s="58">
        <v>1470</v>
      </c>
      <c r="E118" s="55">
        <v>5.56</v>
      </c>
      <c r="F118" s="55">
        <v>2.39</v>
      </c>
      <c r="G118" s="55">
        <v>0</v>
      </c>
      <c r="H118" s="58">
        <f t="shared" si="8"/>
        <v>3127.95</v>
      </c>
      <c r="I118" s="55" t="s">
        <v>899</v>
      </c>
    </row>
    <row r="119" spans="1:9" ht="25.5">
      <c r="A119" s="292" t="s">
        <v>910</v>
      </c>
      <c r="B119" s="293">
        <v>1650</v>
      </c>
      <c r="C119" s="292">
        <v>0</v>
      </c>
      <c r="D119" s="293">
        <v>1470</v>
      </c>
      <c r="E119" s="292">
        <v>0</v>
      </c>
      <c r="F119" s="292">
        <v>49.2</v>
      </c>
      <c r="G119" s="292">
        <v>23.1</v>
      </c>
      <c r="H119" s="293">
        <f t="shared" si="8"/>
        <v>3192.2999999999997</v>
      </c>
      <c r="I119" s="292" t="s">
        <v>899</v>
      </c>
    </row>
    <row r="120" spans="1:9" ht="14.25">
      <c r="A120" s="292" t="s">
        <v>911</v>
      </c>
      <c r="B120" s="292">
        <v>848</v>
      </c>
      <c r="C120" s="292">
        <v>0</v>
      </c>
      <c r="D120" s="292">
        <v>251</v>
      </c>
      <c r="E120" s="292">
        <v>0.36</v>
      </c>
      <c r="F120" s="292">
        <v>0.16</v>
      </c>
      <c r="G120" s="292">
        <v>0</v>
      </c>
      <c r="H120" s="293">
        <f t="shared" si="8"/>
        <v>1099.52</v>
      </c>
      <c r="I120" s="292" t="s">
        <v>899</v>
      </c>
    </row>
    <row r="121" spans="1:9" ht="14.25">
      <c r="A121" s="292" t="s">
        <v>912</v>
      </c>
      <c r="B121" s="292">
        <v>981</v>
      </c>
      <c r="C121" s="292">
        <v>0</v>
      </c>
      <c r="D121" s="292">
        <v>291</v>
      </c>
      <c r="E121" s="292">
        <v>0.42</v>
      </c>
      <c r="F121" s="292">
        <v>0.18</v>
      </c>
      <c r="G121" s="292">
        <v>0</v>
      </c>
      <c r="H121" s="293">
        <f t="shared" si="8"/>
        <v>1272.6000000000001</v>
      </c>
      <c r="I121" s="292" t="s">
        <v>899</v>
      </c>
    </row>
    <row r="122" spans="1:9" ht="12.75">
      <c r="A122" s="298" t="s">
        <v>929</v>
      </c>
      <c r="B122" s="298">
        <v>502</v>
      </c>
      <c r="C122" s="298">
        <v>0</v>
      </c>
      <c r="D122" s="298">
        <v>461</v>
      </c>
      <c r="E122" s="298">
        <v>1.75</v>
      </c>
      <c r="F122" s="298">
        <v>0.75</v>
      </c>
      <c r="G122" s="298">
        <v>0</v>
      </c>
      <c r="H122" s="299">
        <f t="shared" si="8"/>
        <v>965.5</v>
      </c>
      <c r="I122" s="298" t="s">
        <v>900</v>
      </c>
    </row>
    <row r="123" spans="1:9" ht="12.75">
      <c r="A123" s="298" t="s">
        <v>930</v>
      </c>
      <c r="B123" s="298">
        <v>502</v>
      </c>
      <c r="C123" s="298">
        <v>0</v>
      </c>
      <c r="D123" s="298">
        <v>461</v>
      </c>
      <c r="E123" s="298">
        <v>0</v>
      </c>
      <c r="F123" s="298">
        <v>7.51</v>
      </c>
      <c r="G123" s="298">
        <v>0</v>
      </c>
      <c r="H123" s="299">
        <f t="shared" si="8"/>
        <v>970.51</v>
      </c>
      <c r="I123" s="298" t="s">
        <v>900</v>
      </c>
    </row>
    <row r="124" spans="1:9" ht="25.5">
      <c r="A124" s="298" t="s">
        <v>609</v>
      </c>
      <c r="B124" s="298">
        <v>24.3</v>
      </c>
      <c r="C124" s="298">
        <v>0</v>
      </c>
      <c r="D124" s="298">
        <v>22.3</v>
      </c>
      <c r="E124" s="298">
        <v>0.844</v>
      </c>
      <c r="F124" s="298">
        <v>0.036</v>
      </c>
      <c r="G124" s="298">
        <v>0</v>
      </c>
      <c r="H124" s="299">
        <f t="shared" si="8"/>
        <v>47.480000000000004</v>
      </c>
      <c r="I124" s="298" t="s">
        <v>610</v>
      </c>
    </row>
    <row r="125" spans="1:9" ht="12.75">
      <c r="A125" s="320" t="s">
        <v>1024</v>
      </c>
      <c r="B125" s="320"/>
      <c r="C125" s="320"/>
      <c r="D125" s="320"/>
      <c r="E125" s="320"/>
      <c r="F125" s="5"/>
      <c r="G125" s="5"/>
      <c r="H125" s="33"/>
      <c r="I125" s="291"/>
    </row>
    <row r="126" spans="1:9" ht="12.75">
      <c r="A126" s="5" t="s">
        <v>885</v>
      </c>
      <c r="B126" s="5"/>
      <c r="C126" s="5"/>
      <c r="D126" s="5"/>
      <c r="E126" s="5"/>
      <c r="F126" s="5"/>
      <c r="G126" s="5"/>
      <c r="H126" s="5"/>
      <c r="I126" s="291"/>
    </row>
    <row r="127" spans="1:9" ht="32.25" customHeight="1">
      <c r="A127" s="312" t="s">
        <v>1025</v>
      </c>
      <c r="B127" s="313"/>
      <c r="C127" s="313"/>
      <c r="D127" s="313"/>
      <c r="E127" s="313"/>
      <c r="F127" s="313"/>
      <c r="G127" s="313"/>
      <c r="H127" s="313"/>
      <c r="I127" s="313"/>
    </row>
    <row r="128" spans="1:9" ht="29.25" customHeight="1">
      <c r="A128" s="312" t="s">
        <v>918</v>
      </c>
      <c r="B128" s="313"/>
      <c r="C128" s="313"/>
      <c r="D128" s="313"/>
      <c r="E128" s="313"/>
      <c r="F128" s="313"/>
      <c r="G128" s="313"/>
      <c r="H128" s="313"/>
      <c r="I128" s="313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27.75" customHeight="1">
      <c r="A130" s="314" t="s">
        <v>928</v>
      </c>
      <c r="B130" s="315"/>
      <c r="C130" s="5"/>
      <c r="D130" s="5"/>
      <c r="E130" s="5"/>
      <c r="F130" s="5"/>
      <c r="G130" s="5"/>
      <c r="H130" s="5"/>
    </row>
    <row r="131" spans="1:6" ht="38.25">
      <c r="A131" s="55" t="s">
        <v>360</v>
      </c>
      <c r="B131" s="55" t="s">
        <v>919</v>
      </c>
      <c r="C131" s="55" t="s">
        <v>920</v>
      </c>
      <c r="D131" s="55" t="s">
        <v>921</v>
      </c>
      <c r="E131" s="55" t="s">
        <v>922</v>
      </c>
      <c r="F131" s="5"/>
    </row>
    <row r="132" spans="1:5" ht="25.5">
      <c r="A132" s="292" t="s">
        <v>923</v>
      </c>
      <c r="B132" s="295">
        <f>1*C11</f>
        <v>6.99</v>
      </c>
      <c r="C132" s="194">
        <f>(H106/B132)</f>
        <v>749.2188841201717</v>
      </c>
      <c r="D132" s="295">
        <f>1*D10</f>
        <v>10.56</v>
      </c>
      <c r="E132" s="194">
        <f>(H106/D132)</f>
        <v>495.93181818181813</v>
      </c>
    </row>
    <row r="133" spans="1:5" ht="25.5">
      <c r="A133" s="292" t="s">
        <v>924</v>
      </c>
      <c r="B133" s="296">
        <f>1*C7</f>
        <v>13.51</v>
      </c>
      <c r="C133" s="297">
        <f>(H113/B133)</f>
        <v>542.6313841598816</v>
      </c>
      <c r="D133" s="296">
        <f>1*D7</f>
        <v>21.52</v>
      </c>
      <c r="E133" s="297">
        <f>(H113/D133)</f>
        <v>340.6575278810409</v>
      </c>
    </row>
    <row r="134" spans="1:5" ht="25.5">
      <c r="A134" s="298" t="s">
        <v>925</v>
      </c>
      <c r="B134" s="300">
        <f>1*C6</f>
        <v>16.49</v>
      </c>
      <c r="C134" s="301">
        <f>H114/B134</f>
        <v>441.6858702243785</v>
      </c>
      <c r="D134" s="300">
        <f>1*D6</f>
        <v>21.52</v>
      </c>
      <c r="E134" s="301">
        <f>H114/D134</f>
        <v>338.4479553903346</v>
      </c>
    </row>
    <row r="135" spans="1:5" ht="12.75">
      <c r="A135" s="292" t="s">
        <v>906</v>
      </c>
      <c r="B135" s="295">
        <f>4*0.5</f>
        <v>2</v>
      </c>
      <c r="C135" s="194">
        <f>H115/B135</f>
        <v>1284.6000000000001</v>
      </c>
      <c r="D135" s="295">
        <f>4*0.6</f>
        <v>2.4</v>
      </c>
      <c r="E135" s="194">
        <f>H115/D135</f>
        <v>1070.5000000000002</v>
      </c>
    </row>
    <row r="136" spans="1:5" ht="28.5" customHeight="1">
      <c r="A136" s="292" t="s">
        <v>907</v>
      </c>
      <c r="B136" s="295">
        <f>1*C13</f>
        <v>2.83</v>
      </c>
      <c r="C136" s="194">
        <f>H117/B136</f>
        <v>2104.2402826855123</v>
      </c>
      <c r="D136" s="295">
        <f>1*D13</f>
        <v>5.39</v>
      </c>
      <c r="E136" s="194">
        <f>H117/D136</f>
        <v>1104.8237476808906</v>
      </c>
    </row>
    <row r="137" spans="1:5" ht="25.5">
      <c r="A137" s="292" t="s">
        <v>910</v>
      </c>
      <c r="B137" s="295">
        <f>1*C14</f>
        <v>0.49</v>
      </c>
      <c r="C137" s="194">
        <f aca="true" t="shared" si="9" ref="C137:C142">H119/B137</f>
        <v>6514.897959183673</v>
      </c>
      <c r="D137" s="295">
        <f>1*D14</f>
        <v>1.33</v>
      </c>
      <c r="E137" s="194">
        <f aca="true" t="shared" si="10" ref="E137:E142">H119/D137</f>
        <v>2400.225563909774</v>
      </c>
    </row>
    <row r="138" spans="1:5" ht="14.25">
      <c r="A138" s="292" t="s">
        <v>911</v>
      </c>
      <c r="B138" s="295">
        <f>1*C5</f>
        <v>2.62</v>
      </c>
      <c r="C138" s="194">
        <f t="shared" si="9"/>
        <v>419.66412213740455</v>
      </c>
      <c r="D138" s="295">
        <f>1*D5</f>
        <v>2.85</v>
      </c>
      <c r="E138" s="194">
        <f t="shared" si="10"/>
        <v>385.7964912280702</v>
      </c>
    </row>
    <row r="139" spans="1:5" ht="14.25">
      <c r="A139" s="292" t="s">
        <v>912</v>
      </c>
      <c r="B139" s="295">
        <f>1*C4</f>
        <v>2.9</v>
      </c>
      <c r="C139" s="194">
        <f t="shared" si="9"/>
        <v>438.8275862068966</v>
      </c>
      <c r="D139" s="295">
        <f>1*D4</f>
        <v>3.3</v>
      </c>
      <c r="E139" s="194">
        <f t="shared" si="10"/>
        <v>385.6363636363637</v>
      </c>
    </row>
    <row r="140" spans="1:5" ht="12.75">
      <c r="A140" s="298" t="s">
        <v>929</v>
      </c>
      <c r="B140" s="300">
        <f>1*C34</f>
        <v>17.9</v>
      </c>
      <c r="C140" s="301">
        <f t="shared" si="9"/>
        <v>53.93854748603352</v>
      </c>
      <c r="D140" s="300">
        <f>1*D21</f>
        <v>19.5</v>
      </c>
      <c r="E140" s="301">
        <f t="shared" si="10"/>
        <v>49.51282051282051</v>
      </c>
    </row>
    <row r="141" spans="1:5" ht="12.75">
      <c r="A141" s="298" t="s">
        <v>930</v>
      </c>
      <c r="B141" s="300">
        <f>1*C34</f>
        <v>17.9</v>
      </c>
      <c r="C141" s="301">
        <f t="shared" si="9"/>
        <v>54.21843575418995</v>
      </c>
      <c r="D141" s="300">
        <f>1*D34</f>
        <v>19.5</v>
      </c>
      <c r="E141" s="301">
        <f t="shared" si="10"/>
        <v>49.76974358974359</v>
      </c>
    </row>
    <row r="142" spans="1:5" ht="12.75">
      <c r="A142" s="298" t="s">
        <v>611</v>
      </c>
      <c r="B142" s="300">
        <f>8*C39</f>
        <v>1.68</v>
      </c>
      <c r="C142" s="301">
        <f t="shared" si="9"/>
        <v>28.261904761904766</v>
      </c>
      <c r="D142" s="300">
        <f>8*D39</f>
        <v>2</v>
      </c>
      <c r="E142" s="301">
        <f t="shared" si="10"/>
        <v>23.740000000000002</v>
      </c>
    </row>
    <row r="143" spans="1:5" ht="24" customHeight="1">
      <c r="A143" s="291" t="s">
        <v>926</v>
      </c>
      <c r="B143" s="291"/>
      <c r="C143" s="291"/>
      <c r="D143" s="291"/>
      <c r="E143" s="291"/>
    </row>
    <row r="144" spans="1:5" ht="12.75">
      <c r="A144" s="291"/>
      <c r="B144" s="291"/>
      <c r="C144" s="291"/>
      <c r="D144" s="291"/>
      <c r="E144" s="291"/>
    </row>
    <row r="145" spans="1:5" ht="12.75">
      <c r="A145" s="291"/>
      <c r="B145" s="291"/>
      <c r="C145" s="291"/>
      <c r="D145" s="291"/>
      <c r="E145" s="291"/>
    </row>
    <row r="146" spans="1:5" ht="12.75">
      <c r="A146" s="291"/>
      <c r="B146" s="291"/>
      <c r="C146" s="291"/>
      <c r="D146" s="291"/>
      <c r="E146" s="291"/>
    </row>
  </sheetData>
  <sheetProtection/>
  <mergeCells count="6">
    <mergeCell ref="A128:I128"/>
    <mergeCell ref="A130:B130"/>
    <mergeCell ref="A102:F102"/>
    <mergeCell ref="A103:F103"/>
    <mergeCell ref="A125:E125"/>
    <mergeCell ref="A127:I127"/>
  </mergeCells>
  <printOptions/>
  <pageMargins left="0.75" right="0.75" top="1" bottom="1" header="0.5" footer="0.5"/>
  <pageSetup fitToWidth="3" horizontalDpi="600" verticalDpi="600" orientation="landscape" paperSize="9" scale="54"/>
  <rowBreaks count="5" manualBreakCount="5">
    <brk id="15" max="11" man="1"/>
    <brk id="42" max="11" man="1"/>
    <brk id="73" max="255" man="1"/>
    <brk id="103" max="11" man="1"/>
    <brk id="143" max="11" man="1"/>
  </rowBreaks>
  <colBreaks count="3" manualBreakCount="3">
    <brk id="15" max="65535" man="1"/>
    <brk id="16" max="65535" man="1"/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85"/>
  <sheetViews>
    <sheetView zoomScalePageLayoutView="0" workbookViewId="0" topLeftCell="A54">
      <selection activeCell="A70" sqref="A70"/>
    </sheetView>
  </sheetViews>
  <sheetFormatPr defaultColWidth="8.8515625" defaultRowHeight="12.75"/>
  <cols>
    <col min="1" max="1" width="31.140625" style="0" customWidth="1"/>
    <col min="2" max="2" width="9.140625" style="0" customWidth="1"/>
    <col min="3" max="3" width="10.00390625" style="0" customWidth="1"/>
    <col min="4" max="4" width="8.421875" style="0" customWidth="1"/>
    <col min="5" max="5" width="9.140625" style="0" bestFit="1" customWidth="1"/>
    <col min="6" max="7" width="11.8515625" style="0" customWidth="1"/>
    <col min="8" max="8" width="8.421875" style="0" customWidth="1"/>
    <col min="9" max="9" width="11.7109375" style="0" customWidth="1"/>
    <col min="10" max="11" width="9.00390625" style="0" customWidth="1"/>
    <col min="12" max="12" width="9.421875" style="0" customWidth="1"/>
    <col min="13" max="13" width="10.00390625" style="0" customWidth="1"/>
    <col min="14" max="14" width="9.28125" style="0" bestFit="1" customWidth="1"/>
    <col min="15" max="15" width="11.421875" style="0" bestFit="1" customWidth="1"/>
    <col min="16" max="16" width="10.00390625" style="0" customWidth="1"/>
    <col min="17" max="17" width="11.421875" style="0" customWidth="1"/>
    <col min="18" max="18" width="9.7109375" style="0" customWidth="1"/>
    <col min="19" max="19" width="11.28125" style="0" customWidth="1"/>
    <col min="20" max="22" width="12.421875" style="0" customWidth="1"/>
    <col min="23" max="23" width="10.7109375" style="0" customWidth="1"/>
    <col min="24" max="25" width="11.8515625" style="0" customWidth="1"/>
    <col min="26" max="26" width="10.421875" style="0" customWidth="1"/>
  </cols>
  <sheetData>
    <row r="1" spans="1:20" ht="12.75">
      <c r="A1" s="42" t="s">
        <v>671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2.75">
      <c r="A2" s="64" t="s">
        <v>470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6" ht="64.5" customHeight="1">
      <c r="A3" s="44" t="s">
        <v>672</v>
      </c>
      <c r="B3" s="44" t="s">
        <v>674</v>
      </c>
      <c r="C3" s="44" t="s">
        <v>440</v>
      </c>
      <c r="D3" s="44" t="s">
        <v>676</v>
      </c>
      <c r="E3" s="44" t="s">
        <v>677</v>
      </c>
      <c r="F3" s="44" t="s">
        <v>513</v>
      </c>
      <c r="G3" s="44" t="s">
        <v>558</v>
      </c>
      <c r="H3" s="44" t="s">
        <v>514</v>
      </c>
      <c r="I3" s="44" t="s">
        <v>559</v>
      </c>
      <c r="J3" s="44" t="s">
        <v>515</v>
      </c>
      <c r="K3" s="44" t="s">
        <v>516</v>
      </c>
      <c r="L3" s="44" t="s">
        <v>517</v>
      </c>
      <c r="M3" s="44" t="s">
        <v>599</v>
      </c>
      <c r="N3" s="44" t="s">
        <v>518</v>
      </c>
      <c r="O3" s="254" t="s">
        <v>931</v>
      </c>
      <c r="P3" s="44"/>
      <c r="Q3" s="44"/>
      <c r="R3" s="44"/>
      <c r="S3" s="44"/>
      <c r="T3" s="44"/>
      <c r="U3" s="4"/>
      <c r="V3" s="4"/>
      <c r="W3" s="4"/>
      <c r="X3" s="4"/>
      <c r="Y3" s="4"/>
      <c r="Z3" s="4"/>
    </row>
    <row r="4" spans="1:26" ht="12.75">
      <c r="A4" s="43" t="s">
        <v>673</v>
      </c>
      <c r="B4" s="43" t="s">
        <v>675</v>
      </c>
      <c r="C4" s="43" t="s">
        <v>357</v>
      </c>
      <c r="D4" s="45">
        <v>3458.2</v>
      </c>
      <c r="E4" s="45">
        <v>86</v>
      </c>
      <c r="F4" s="45">
        <f>(E4/100)*D4</f>
        <v>2974.0519999999997</v>
      </c>
      <c r="G4" s="45">
        <f>(100-E4)</f>
        <v>14</v>
      </c>
      <c r="H4" s="45">
        <f>(G4/100)*D4</f>
        <v>484.148</v>
      </c>
      <c r="I4" s="43">
        <v>1.4</v>
      </c>
      <c r="J4" s="45">
        <f>(I4*F4)</f>
        <v>4163.672799999999</v>
      </c>
      <c r="K4" s="45">
        <f>(I4*H4)</f>
        <v>677.8072</v>
      </c>
      <c r="L4" s="43">
        <v>15</v>
      </c>
      <c r="M4" s="45">
        <f>(F4/L4)</f>
        <v>198.27013333333332</v>
      </c>
      <c r="N4" s="102">
        <f>(J4/L4)</f>
        <v>277.5781866666666</v>
      </c>
      <c r="O4" s="102">
        <f>J4/C34</f>
        <v>19.547759624413143</v>
      </c>
      <c r="P4" s="43"/>
      <c r="Q4" s="45"/>
      <c r="R4" s="46"/>
      <c r="S4" s="43"/>
      <c r="T4" s="45"/>
      <c r="U4" s="3"/>
      <c r="V4" s="6"/>
      <c r="X4" s="3"/>
      <c r="Y4" s="3"/>
      <c r="Z4" s="6"/>
    </row>
    <row r="5" spans="1:20" ht="12.75">
      <c r="A5" s="43" t="s">
        <v>358</v>
      </c>
      <c r="B5" s="43"/>
      <c r="C5" s="43"/>
      <c r="D5" s="43"/>
      <c r="E5" s="43"/>
      <c r="F5" s="43"/>
      <c r="G5" s="43"/>
      <c r="H5" s="43"/>
      <c r="I5" s="43"/>
      <c r="J5" s="43">
        <f>(N5*L4)</f>
        <v>4500</v>
      </c>
      <c r="K5" s="43"/>
      <c r="L5" s="43">
        <v>15</v>
      </c>
      <c r="M5" s="43"/>
      <c r="N5" s="45">
        <v>300</v>
      </c>
      <c r="O5" s="102">
        <f>(N5*L5)/$C$34</f>
        <v>21.12676056338028</v>
      </c>
      <c r="P5" s="43"/>
      <c r="Q5" s="43"/>
      <c r="R5" s="43"/>
      <c r="S5" s="43"/>
      <c r="T5" s="43"/>
    </row>
    <row r="6" spans="1:20" ht="14.25">
      <c r="A6" s="47" t="s">
        <v>797</v>
      </c>
      <c r="B6" s="43"/>
      <c r="C6" s="43"/>
      <c r="D6" s="43"/>
      <c r="E6" s="43"/>
      <c r="F6" s="43"/>
      <c r="G6" s="43"/>
      <c r="H6" s="43"/>
      <c r="I6" s="43"/>
      <c r="J6" s="43">
        <f>(N6*L6)</f>
        <v>4650</v>
      </c>
      <c r="K6" s="43"/>
      <c r="L6" s="43">
        <v>15</v>
      </c>
      <c r="M6" s="43"/>
      <c r="N6" s="45">
        <v>310</v>
      </c>
      <c r="O6" s="102">
        <f>(N6*L6)/$C$34</f>
        <v>21.830985915492956</v>
      </c>
      <c r="P6" s="43"/>
      <c r="Q6" s="43"/>
      <c r="R6" s="43"/>
      <c r="S6" s="43"/>
      <c r="T6" s="43"/>
    </row>
    <row r="7" spans="1:20" ht="12.75">
      <c r="A7" s="47" t="s">
        <v>359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102"/>
      <c r="P7" s="43"/>
      <c r="Q7" s="43"/>
      <c r="R7" s="43"/>
      <c r="S7" s="43"/>
      <c r="T7" s="43"/>
    </row>
    <row r="8" spans="1:20" ht="12.75">
      <c r="A8" s="47" t="s">
        <v>799</v>
      </c>
      <c r="B8" s="43" t="s">
        <v>841</v>
      </c>
      <c r="C8" s="43" t="s">
        <v>357</v>
      </c>
      <c r="D8" s="43">
        <v>3049</v>
      </c>
      <c r="E8" s="43"/>
      <c r="F8" s="43"/>
      <c r="G8" s="43"/>
      <c r="H8" s="43"/>
      <c r="I8" s="43">
        <v>1.4</v>
      </c>
      <c r="J8" s="43"/>
      <c r="K8" s="43"/>
      <c r="L8" s="43">
        <v>12</v>
      </c>
      <c r="M8" s="43"/>
      <c r="N8" s="43"/>
      <c r="O8" s="102"/>
      <c r="P8" s="43"/>
      <c r="Q8" s="43"/>
      <c r="R8" s="43"/>
      <c r="S8" s="43"/>
      <c r="T8" s="43"/>
    </row>
    <row r="9" spans="1:20" ht="14.25">
      <c r="A9" s="47" t="s">
        <v>800</v>
      </c>
      <c r="B9" s="43"/>
      <c r="C9" s="43"/>
      <c r="D9" s="43"/>
      <c r="E9" s="43"/>
      <c r="F9" s="43"/>
      <c r="G9" s="43"/>
      <c r="H9" s="43"/>
      <c r="I9" s="43"/>
      <c r="J9" s="43">
        <f>(N9*L9)</f>
        <v>3600</v>
      </c>
      <c r="K9" s="43"/>
      <c r="L9" s="43">
        <v>12</v>
      </c>
      <c r="M9" s="43"/>
      <c r="N9" s="43">
        <v>300</v>
      </c>
      <c r="O9" s="102">
        <f>(J9/C35)</f>
        <v>19.148936170212767</v>
      </c>
      <c r="P9" s="43"/>
      <c r="Q9" s="43"/>
      <c r="R9" s="43"/>
      <c r="S9" s="43"/>
      <c r="T9" s="43"/>
    </row>
    <row r="10" spans="1:20" ht="12.75">
      <c r="A10" s="47" t="s">
        <v>802</v>
      </c>
      <c r="B10" s="43" t="s">
        <v>873</v>
      </c>
      <c r="C10" s="43" t="s">
        <v>357</v>
      </c>
      <c r="D10" s="43">
        <v>4235</v>
      </c>
      <c r="E10" s="43">
        <v>93</v>
      </c>
      <c r="F10" s="45">
        <f>(E10/100)*D10</f>
        <v>3938.55</v>
      </c>
      <c r="G10" s="45">
        <f>(100-E10)</f>
        <v>7</v>
      </c>
      <c r="H10" s="45">
        <f>(G10/100)*D10</f>
        <v>296.45000000000005</v>
      </c>
      <c r="I10" s="43">
        <v>1.4</v>
      </c>
      <c r="J10" s="45">
        <f>(I10*F10)</f>
        <v>5513.97</v>
      </c>
      <c r="K10" s="45">
        <f>(I10*H10)</f>
        <v>415.03000000000003</v>
      </c>
      <c r="L10" s="43">
        <v>16</v>
      </c>
      <c r="M10" s="45">
        <f>(F10/L10)</f>
        <v>246.159375</v>
      </c>
      <c r="N10" s="45">
        <f>(J10/L10)</f>
        <v>344.623125</v>
      </c>
      <c r="O10" s="102">
        <f>(J10/C36)</f>
        <v>21.12632183908046</v>
      </c>
      <c r="P10" s="43"/>
      <c r="Q10" s="43"/>
      <c r="R10" s="43"/>
      <c r="S10" s="43"/>
      <c r="T10" s="43"/>
    </row>
    <row r="11" spans="1:20" ht="12.75">
      <c r="A11" s="47" t="s">
        <v>803</v>
      </c>
      <c r="B11" s="43"/>
      <c r="C11" s="43"/>
      <c r="D11" s="43"/>
      <c r="E11" s="43"/>
      <c r="F11" s="43"/>
      <c r="G11" s="43"/>
      <c r="H11" s="43"/>
      <c r="I11" s="43"/>
      <c r="J11" s="43">
        <f>(N11*L11)</f>
        <v>3200</v>
      </c>
      <c r="K11" s="43"/>
      <c r="L11" s="43">
        <v>16</v>
      </c>
      <c r="M11" s="43"/>
      <c r="N11" s="43">
        <v>200</v>
      </c>
      <c r="O11" s="102"/>
      <c r="P11" s="43"/>
      <c r="Q11" s="43"/>
      <c r="R11" s="43"/>
      <c r="S11" s="43"/>
      <c r="T11" s="43"/>
    </row>
    <row r="12" spans="1:20" ht="12.75">
      <c r="A12" s="47" t="s">
        <v>801</v>
      </c>
      <c r="B12" s="43" t="s">
        <v>872</v>
      </c>
      <c r="C12" s="43" t="s">
        <v>357</v>
      </c>
      <c r="D12" s="43">
        <v>4235</v>
      </c>
      <c r="E12" s="43">
        <v>93</v>
      </c>
      <c r="F12" s="45">
        <f>(E12/100)*D12</f>
        <v>3938.55</v>
      </c>
      <c r="G12" s="45">
        <f>(100-E12)</f>
        <v>7</v>
      </c>
      <c r="H12" s="45">
        <f>(G12/100)*D12</f>
        <v>296.45000000000005</v>
      </c>
      <c r="I12" s="43">
        <v>1.4</v>
      </c>
      <c r="J12" s="45">
        <f>(I12*F12)</f>
        <v>5513.97</v>
      </c>
      <c r="K12" s="45">
        <f>(I12*H12)</f>
        <v>415.03000000000003</v>
      </c>
      <c r="L12" s="43">
        <v>16</v>
      </c>
      <c r="M12" s="45">
        <f>(F12/L12)</f>
        <v>246.159375</v>
      </c>
      <c r="N12" s="45">
        <f>(J12/L12)</f>
        <v>344.623125</v>
      </c>
      <c r="O12" s="102">
        <f>(J12/C37)</f>
        <v>21.12632183908046</v>
      </c>
      <c r="P12" s="43"/>
      <c r="Q12" s="43"/>
      <c r="R12" s="43"/>
      <c r="S12" s="43"/>
      <c r="T12" s="43"/>
    </row>
    <row r="13" spans="1:20" ht="14.25">
      <c r="A13" s="47" t="s">
        <v>804</v>
      </c>
      <c r="B13" s="43"/>
      <c r="C13" s="43"/>
      <c r="D13" s="43"/>
      <c r="E13" s="43"/>
      <c r="F13" s="43"/>
      <c r="G13" s="43"/>
      <c r="H13" s="43"/>
      <c r="I13" s="43"/>
      <c r="J13" s="43">
        <f>(N13*L13)</f>
        <v>3200</v>
      </c>
      <c r="K13" s="43"/>
      <c r="L13" s="43">
        <v>16</v>
      </c>
      <c r="M13" s="43"/>
      <c r="N13" s="43">
        <v>200</v>
      </c>
      <c r="O13" s="102"/>
      <c r="P13" s="43"/>
      <c r="Q13" s="43"/>
      <c r="R13" s="43"/>
      <c r="S13" s="43"/>
      <c r="T13" s="43"/>
    </row>
    <row r="14" spans="1:20" ht="12.75">
      <c r="A14" s="47" t="s">
        <v>805</v>
      </c>
      <c r="B14" s="43" t="s">
        <v>750</v>
      </c>
      <c r="C14" s="43" t="s">
        <v>357</v>
      </c>
      <c r="D14" s="43">
        <v>3607</v>
      </c>
      <c r="E14" s="43"/>
      <c r="F14" s="43"/>
      <c r="G14" s="43"/>
      <c r="H14" s="43"/>
      <c r="I14" s="43">
        <v>1.4</v>
      </c>
      <c r="J14" s="43"/>
      <c r="K14" s="43"/>
      <c r="L14" s="43">
        <v>8</v>
      </c>
      <c r="M14" s="43"/>
      <c r="N14" s="43"/>
      <c r="O14" s="102"/>
      <c r="P14" s="43"/>
      <c r="Q14" s="43"/>
      <c r="R14" s="43"/>
      <c r="S14" s="43"/>
      <c r="T14" s="43"/>
    </row>
    <row r="15" spans="1:20" ht="14.25">
      <c r="A15" s="47" t="s">
        <v>806</v>
      </c>
      <c r="B15" s="43"/>
      <c r="C15" s="43"/>
      <c r="D15" s="43"/>
      <c r="E15" s="43"/>
      <c r="F15" s="43"/>
      <c r="G15" s="43"/>
      <c r="H15" s="43"/>
      <c r="I15" s="43"/>
      <c r="J15" s="43">
        <f>(N15*L15)</f>
        <v>2400</v>
      </c>
      <c r="K15" s="43"/>
      <c r="L15" s="43">
        <v>8</v>
      </c>
      <c r="M15" s="43"/>
      <c r="N15" s="43">
        <v>300</v>
      </c>
      <c r="O15" s="102">
        <f>(J15/C38)</f>
        <v>10.762331838565023</v>
      </c>
      <c r="P15" s="43"/>
      <c r="Q15" s="43"/>
      <c r="R15" s="43"/>
      <c r="S15" s="43"/>
      <c r="T15" s="43"/>
    </row>
    <row r="16" spans="1:20" ht="12.75">
      <c r="A16" s="47" t="s">
        <v>807</v>
      </c>
      <c r="B16" s="43" t="s">
        <v>751</v>
      </c>
      <c r="C16" s="43" t="s">
        <v>357</v>
      </c>
      <c r="D16" s="43">
        <v>4578</v>
      </c>
      <c r="E16" s="43"/>
      <c r="F16" s="43"/>
      <c r="G16" s="43"/>
      <c r="H16" s="43"/>
      <c r="I16" s="43">
        <v>1.4</v>
      </c>
      <c r="J16" s="43"/>
      <c r="K16" s="43"/>
      <c r="L16" s="43">
        <v>12</v>
      </c>
      <c r="M16" s="43"/>
      <c r="N16" s="43"/>
      <c r="O16" s="102"/>
      <c r="P16" s="43"/>
      <c r="Q16" s="43"/>
      <c r="R16" s="43"/>
      <c r="S16" s="43"/>
      <c r="T16" s="43"/>
    </row>
    <row r="17" spans="1:20" ht="14.25">
      <c r="A17" s="47" t="s">
        <v>705</v>
      </c>
      <c r="B17" s="43"/>
      <c r="C17" s="43"/>
      <c r="D17" s="43"/>
      <c r="E17" s="43"/>
      <c r="F17" s="43"/>
      <c r="G17" s="43"/>
      <c r="H17" s="43"/>
      <c r="I17" s="43"/>
      <c r="J17" s="43">
        <f>(N17*L17)</f>
        <v>3600</v>
      </c>
      <c r="K17" s="43"/>
      <c r="L17" s="43">
        <v>12</v>
      </c>
      <c r="M17" s="43"/>
      <c r="N17" s="43">
        <v>300</v>
      </c>
      <c r="O17" s="102">
        <f>(J17/C39)</f>
        <v>12.720848056537102</v>
      </c>
      <c r="P17" s="43"/>
      <c r="Q17" s="43"/>
      <c r="R17" s="43"/>
      <c r="S17" s="43"/>
      <c r="T17" s="43"/>
    </row>
    <row r="18" spans="1:20" ht="14.25">
      <c r="A18" s="47" t="s">
        <v>1211</v>
      </c>
      <c r="B18" s="43" t="s">
        <v>871</v>
      </c>
      <c r="C18" s="43" t="s">
        <v>357</v>
      </c>
      <c r="D18" s="43">
        <v>4242</v>
      </c>
      <c r="E18" s="43">
        <v>88</v>
      </c>
      <c r="F18" s="45">
        <f>(E18/100)*D18</f>
        <v>3732.96</v>
      </c>
      <c r="G18" s="43">
        <v>6</v>
      </c>
      <c r="H18" s="45">
        <f>(G18/100)*D18</f>
        <v>254.51999999999998</v>
      </c>
      <c r="I18" s="43">
        <v>1.4</v>
      </c>
      <c r="J18" s="45">
        <f>(I18*F18)</f>
        <v>5226.143999999999</v>
      </c>
      <c r="K18" s="45">
        <f>(I18*H18)</f>
        <v>356.328</v>
      </c>
      <c r="L18" s="43">
        <v>16</v>
      </c>
      <c r="M18" s="45">
        <f>(F18/L18)</f>
        <v>233.31</v>
      </c>
      <c r="N18" s="45">
        <f>(J18/L18)</f>
        <v>326.63399999999996</v>
      </c>
      <c r="O18" s="102">
        <f>(J18/C40)</f>
        <v>19.947114503816792</v>
      </c>
      <c r="P18" s="43"/>
      <c r="Q18" s="43"/>
      <c r="R18" s="43"/>
      <c r="S18" s="43"/>
      <c r="T18" s="43"/>
    </row>
    <row r="19" spans="1:20" ht="14.25">
      <c r="A19" s="47" t="s">
        <v>706</v>
      </c>
      <c r="B19" s="43"/>
      <c r="C19" s="43"/>
      <c r="D19" s="43"/>
      <c r="E19" s="43"/>
      <c r="F19" s="43"/>
      <c r="G19" s="43"/>
      <c r="H19" s="43"/>
      <c r="I19" s="43"/>
      <c r="J19" s="43">
        <f>(N19*L19)</f>
        <v>3840</v>
      </c>
      <c r="K19" s="43"/>
      <c r="L19" s="43">
        <v>16</v>
      </c>
      <c r="M19" s="43"/>
      <c r="N19" s="43">
        <v>240</v>
      </c>
      <c r="O19" s="102"/>
      <c r="P19" s="43"/>
      <c r="Q19" s="43"/>
      <c r="R19" s="43"/>
      <c r="S19" s="43"/>
      <c r="T19" s="43"/>
    </row>
    <row r="20" spans="1:20" ht="12.75">
      <c r="A20" s="48" t="s">
        <v>869</v>
      </c>
      <c r="B20" s="49" t="s">
        <v>870</v>
      </c>
      <c r="C20" s="48" t="s">
        <v>357</v>
      </c>
      <c r="D20" s="48">
        <v>7117</v>
      </c>
      <c r="E20" s="48"/>
      <c r="F20" s="48"/>
      <c r="G20" s="48"/>
      <c r="H20" s="48"/>
      <c r="I20" s="48">
        <v>1.4</v>
      </c>
      <c r="J20" s="48"/>
      <c r="K20" s="48"/>
      <c r="L20" s="48">
        <v>8</v>
      </c>
      <c r="M20" s="48"/>
      <c r="N20" s="48"/>
      <c r="O20" s="102"/>
      <c r="P20" s="43"/>
      <c r="Q20" s="43"/>
      <c r="R20" s="43"/>
      <c r="S20" s="43"/>
      <c r="T20" s="43"/>
    </row>
    <row r="21" spans="1:20" ht="14.25">
      <c r="A21" s="47" t="s">
        <v>707</v>
      </c>
      <c r="B21" s="43"/>
      <c r="C21" s="43"/>
      <c r="D21" s="43"/>
      <c r="E21" s="43"/>
      <c r="F21" s="43"/>
      <c r="G21" s="43"/>
      <c r="H21" s="43"/>
      <c r="I21" s="43"/>
      <c r="J21" s="43">
        <f>(N21*L21)</f>
        <v>2400</v>
      </c>
      <c r="K21" s="43"/>
      <c r="L21" s="43">
        <v>8</v>
      </c>
      <c r="M21" s="43"/>
      <c r="N21" s="43">
        <v>300</v>
      </c>
      <c r="O21" s="102">
        <f>(J21/C42)</f>
        <v>14.035087719298245</v>
      </c>
      <c r="P21" s="43"/>
      <c r="Q21" s="43"/>
      <c r="R21" s="43"/>
      <c r="S21" s="43"/>
      <c r="T21" s="43"/>
    </row>
    <row r="22" spans="1:20" ht="12.75">
      <c r="A22" s="47" t="s">
        <v>708</v>
      </c>
      <c r="B22" s="43" t="s">
        <v>752</v>
      </c>
      <c r="C22" s="43" t="s">
        <v>357</v>
      </c>
      <c r="D22" s="43">
        <v>2774</v>
      </c>
      <c r="E22" s="43"/>
      <c r="F22" s="43"/>
      <c r="G22" s="43"/>
      <c r="H22" s="43"/>
      <c r="I22" s="43">
        <v>1.4</v>
      </c>
      <c r="J22" s="43"/>
      <c r="K22" s="43"/>
      <c r="L22" s="43">
        <v>8</v>
      </c>
      <c r="M22" s="43"/>
      <c r="N22" s="43"/>
      <c r="O22" s="102"/>
      <c r="P22" s="43"/>
      <c r="Q22" s="43"/>
      <c r="R22" s="43"/>
      <c r="S22" s="43"/>
      <c r="T22" s="43"/>
    </row>
    <row r="23" spans="1:20" ht="14.25">
      <c r="A23" s="47" t="s">
        <v>709</v>
      </c>
      <c r="B23" s="43"/>
      <c r="C23" s="43"/>
      <c r="D23" s="43"/>
      <c r="E23" s="43"/>
      <c r="F23" s="43"/>
      <c r="G23" s="43"/>
      <c r="H23" s="43"/>
      <c r="I23" s="43"/>
      <c r="J23" s="43">
        <f>(N23*L23)</f>
        <v>2400</v>
      </c>
      <c r="K23" s="43"/>
      <c r="L23" s="43">
        <v>8</v>
      </c>
      <c r="M23" s="43"/>
      <c r="N23" s="43">
        <v>300</v>
      </c>
      <c r="O23" s="102">
        <f>(J23/C42)</f>
        <v>14.035087719298245</v>
      </c>
      <c r="P23" s="43"/>
      <c r="Q23" s="43"/>
      <c r="R23" s="43"/>
      <c r="S23" s="43"/>
      <c r="T23" s="43"/>
    </row>
    <row r="24" spans="1:20" ht="12.75">
      <c r="A24" s="47" t="s">
        <v>810</v>
      </c>
      <c r="B24" s="43" t="s">
        <v>853</v>
      </c>
      <c r="C24" s="43" t="s">
        <v>357</v>
      </c>
      <c r="D24" s="43">
        <v>3475</v>
      </c>
      <c r="E24" s="43">
        <v>80</v>
      </c>
      <c r="F24" s="45">
        <f>(E24/100)*D24</f>
        <v>2780</v>
      </c>
      <c r="G24" s="45">
        <f>(100-E24)</f>
        <v>20</v>
      </c>
      <c r="H24" s="45">
        <f>(G24/100)*D24</f>
        <v>695</v>
      </c>
      <c r="I24" s="43">
        <v>1.4</v>
      </c>
      <c r="J24" s="45">
        <f>(I24*F24)</f>
        <v>3891.9999999999995</v>
      </c>
      <c r="K24" s="43"/>
      <c r="L24" s="43">
        <v>12</v>
      </c>
      <c r="M24" s="43"/>
      <c r="N24" s="45">
        <f>(J24/L24)</f>
        <v>324.3333333333333</v>
      </c>
      <c r="O24" s="102">
        <f>(J24/C43)</f>
        <v>18.10232558139535</v>
      </c>
      <c r="P24" s="43"/>
      <c r="Q24" s="43"/>
      <c r="R24" s="43"/>
      <c r="S24" s="43"/>
      <c r="T24" s="43"/>
    </row>
    <row r="25" spans="1:20" ht="14.25">
      <c r="A25" s="47" t="s">
        <v>812</v>
      </c>
      <c r="B25" s="43"/>
      <c r="C25" s="43"/>
      <c r="D25" s="43"/>
      <c r="E25" s="43"/>
      <c r="F25" s="43"/>
      <c r="G25" s="43"/>
      <c r="H25" s="43"/>
      <c r="I25" s="43"/>
      <c r="J25" s="43">
        <f>(N25*L25)</f>
        <v>12000</v>
      </c>
      <c r="K25" s="43"/>
      <c r="L25" s="43">
        <v>12</v>
      </c>
      <c r="M25" s="43"/>
      <c r="N25" s="43">
        <v>1000</v>
      </c>
      <c r="O25" s="43"/>
      <c r="P25" s="43"/>
      <c r="Q25" s="43"/>
      <c r="R25" s="43"/>
      <c r="S25" s="43"/>
      <c r="T25" s="43"/>
    </row>
    <row r="26" spans="1:20" ht="12.75">
      <c r="A26" s="48" t="s">
        <v>855</v>
      </c>
      <c r="B26" s="48" t="s">
        <v>854</v>
      </c>
      <c r="C26" s="48" t="s">
        <v>357</v>
      </c>
      <c r="D26" s="48">
        <v>9679</v>
      </c>
      <c r="E26" s="48"/>
      <c r="F26" s="48"/>
      <c r="G26" s="48"/>
      <c r="H26" s="48"/>
      <c r="I26" s="48">
        <v>1.4</v>
      </c>
      <c r="J26" s="48"/>
      <c r="K26" s="48"/>
      <c r="L26" s="48">
        <v>8</v>
      </c>
      <c r="M26" s="48"/>
      <c r="N26" s="48"/>
      <c r="O26" s="43"/>
      <c r="P26" s="43"/>
      <c r="Q26" s="43"/>
      <c r="R26" s="43"/>
      <c r="S26" s="43"/>
      <c r="T26" s="43"/>
    </row>
    <row r="27" spans="1:20" ht="14.25">
      <c r="A27" s="47" t="s">
        <v>811</v>
      </c>
      <c r="B27" s="43"/>
      <c r="C27" s="43"/>
      <c r="D27" s="43"/>
      <c r="E27" s="43"/>
      <c r="F27" s="43"/>
      <c r="G27" s="43"/>
      <c r="H27" s="43"/>
      <c r="I27" s="43"/>
      <c r="J27" s="43">
        <f>(N27*L27)</f>
        <v>2400</v>
      </c>
      <c r="K27" s="43"/>
      <c r="L27" s="43">
        <v>8</v>
      </c>
      <c r="M27" s="43"/>
      <c r="N27" s="43">
        <v>300</v>
      </c>
      <c r="O27" s="43"/>
      <c r="P27" s="43"/>
      <c r="Q27" s="43"/>
      <c r="R27" s="43"/>
      <c r="S27" s="43"/>
      <c r="T27" s="43"/>
    </row>
    <row r="28" spans="1:20" ht="14.25">
      <c r="A28" s="47" t="s">
        <v>813</v>
      </c>
      <c r="B28" s="47" t="s">
        <v>130</v>
      </c>
      <c r="C28" s="43" t="s">
        <v>357</v>
      </c>
      <c r="D28" s="43">
        <f>(4*186.97)</f>
        <v>747.88</v>
      </c>
      <c r="E28" s="43">
        <v>100</v>
      </c>
      <c r="F28" s="45">
        <f>(E28/100)*D28</f>
        <v>747.88</v>
      </c>
      <c r="G28" s="43">
        <v>0</v>
      </c>
      <c r="H28" s="45">
        <f>(G28/100)*D28</f>
        <v>0</v>
      </c>
      <c r="I28" s="46">
        <f>(J28/F28)</f>
        <v>1.0162058084184629</v>
      </c>
      <c r="J28" s="43">
        <f>(N28*L28)</f>
        <v>760</v>
      </c>
      <c r="K28" s="45">
        <f>(I28*H28)</f>
        <v>0</v>
      </c>
      <c r="L28" s="42">
        <v>4</v>
      </c>
      <c r="M28" s="45">
        <f>(F28/L28)</f>
        <v>186.97</v>
      </c>
      <c r="N28" s="50">
        <v>190</v>
      </c>
      <c r="O28" s="43"/>
      <c r="P28" s="43"/>
      <c r="Q28" s="43"/>
      <c r="R28" s="43"/>
      <c r="S28" s="43"/>
      <c r="T28" s="43"/>
    </row>
    <row r="29" spans="1:20" ht="12.75">
      <c r="A29" s="51" t="s">
        <v>798</v>
      </c>
      <c r="B29" s="47"/>
      <c r="C29" s="43"/>
      <c r="D29" s="43"/>
      <c r="E29" s="43"/>
      <c r="F29" s="45"/>
      <c r="G29" s="43"/>
      <c r="H29" s="45"/>
      <c r="I29" s="46"/>
      <c r="J29" s="43"/>
      <c r="K29" s="45"/>
      <c r="L29" s="42"/>
      <c r="M29" s="45"/>
      <c r="N29" s="50" t="s">
        <v>932</v>
      </c>
      <c r="O29" s="102">
        <f>(O24+O23+O21+O18+O17+O15+O12+O10+O9+O6+O5+O4)/12</f>
        <v>17.792490114214235</v>
      </c>
      <c r="P29" s="43"/>
      <c r="Q29" s="43"/>
      <c r="R29" s="43"/>
      <c r="S29" s="43"/>
      <c r="T29" s="43"/>
    </row>
    <row r="30" spans="1:20" ht="12.75">
      <c r="A30" s="51" t="s">
        <v>917</v>
      </c>
      <c r="B30" s="47"/>
      <c r="C30" s="43"/>
      <c r="D30" s="43"/>
      <c r="E30" s="43"/>
      <c r="F30" s="45"/>
      <c r="G30" s="43"/>
      <c r="H30" s="45"/>
      <c r="I30" s="46"/>
      <c r="J30" s="43"/>
      <c r="K30" s="45"/>
      <c r="L30" s="42"/>
      <c r="M30" s="45"/>
      <c r="N30" s="50"/>
      <c r="O30" s="43"/>
      <c r="P30" s="43"/>
      <c r="Q30" s="43"/>
      <c r="R30" s="43"/>
      <c r="S30" s="43"/>
      <c r="T30" s="43"/>
    </row>
    <row r="31" spans="1:20" ht="12.75">
      <c r="A31" s="51" t="s">
        <v>1327</v>
      </c>
      <c r="B31" s="47"/>
      <c r="C31" s="43"/>
      <c r="D31" s="43"/>
      <c r="E31" s="43"/>
      <c r="F31" s="45"/>
      <c r="G31" s="43"/>
      <c r="H31" s="45"/>
      <c r="I31" s="46"/>
      <c r="J31" s="43"/>
      <c r="K31" s="45"/>
      <c r="L31" s="42"/>
      <c r="M31" s="45"/>
      <c r="N31" s="50"/>
      <c r="O31" s="43"/>
      <c r="P31" s="43"/>
      <c r="Q31" s="43"/>
      <c r="R31" s="43"/>
      <c r="S31" s="43"/>
      <c r="T31" s="43"/>
    </row>
    <row r="32" spans="1:20" ht="12.75">
      <c r="A32" s="159" t="s">
        <v>1212</v>
      </c>
      <c r="B32" s="47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spans="1:20" ht="76.5">
      <c r="A33" s="43" t="s">
        <v>672</v>
      </c>
      <c r="B33" s="44" t="s">
        <v>360</v>
      </c>
      <c r="C33" s="44" t="s">
        <v>362</v>
      </c>
      <c r="D33" s="44" t="s">
        <v>593</v>
      </c>
      <c r="E33" s="44" t="s">
        <v>598</v>
      </c>
      <c r="F33" s="44" t="s">
        <v>594</v>
      </c>
      <c r="G33" s="44" t="s">
        <v>596</v>
      </c>
      <c r="H33" s="44" t="s">
        <v>710</v>
      </c>
      <c r="I33" s="44" t="s">
        <v>595</v>
      </c>
      <c r="J33" s="44" t="s">
        <v>597</v>
      </c>
      <c r="K33" s="44" t="s">
        <v>600</v>
      </c>
      <c r="L33" s="44" t="s">
        <v>1214</v>
      </c>
      <c r="M33" s="44" t="s">
        <v>711</v>
      </c>
      <c r="N33" s="44" t="s">
        <v>713</v>
      </c>
      <c r="O33" s="44" t="s">
        <v>712</v>
      </c>
      <c r="P33" s="84" t="s">
        <v>714</v>
      </c>
      <c r="Q33" s="44" t="s">
        <v>715</v>
      </c>
      <c r="R33" s="160" t="s">
        <v>716</v>
      </c>
      <c r="S33" s="44" t="s">
        <v>529</v>
      </c>
      <c r="T33" s="44" t="s">
        <v>1213</v>
      </c>
    </row>
    <row r="34" spans="1:20" ht="12.75">
      <c r="A34" s="43" t="s">
        <v>842</v>
      </c>
      <c r="B34" s="43" t="s">
        <v>361</v>
      </c>
      <c r="C34" s="43">
        <v>213</v>
      </c>
      <c r="D34" s="45">
        <f>(E4/100)*C34</f>
        <v>183.18</v>
      </c>
      <c r="E34" s="46">
        <f>(D34/L4)</f>
        <v>12.212</v>
      </c>
      <c r="F34" s="43">
        <v>4030</v>
      </c>
      <c r="G34" s="45">
        <f>(E4/100)*F34</f>
        <v>3465.7999999999997</v>
      </c>
      <c r="H34" s="46">
        <f>(G34/D34)</f>
        <v>18.92018779342723</v>
      </c>
      <c r="I34" s="43">
        <v>4270</v>
      </c>
      <c r="J34" s="45">
        <f>(E4/100)*I34</f>
        <v>3672.2</v>
      </c>
      <c r="K34" s="45">
        <f>(J34/L4)</f>
        <v>244.81333333333333</v>
      </c>
      <c r="L34" s="102">
        <f>(J34/D34)</f>
        <v>20.04694835680751</v>
      </c>
      <c r="M34" s="43">
        <v>1735</v>
      </c>
      <c r="N34" s="45">
        <f>(M34*L34)</f>
        <v>34781.45539906103</v>
      </c>
      <c r="O34" s="52">
        <f>(N34*D34)</f>
        <v>6371267</v>
      </c>
      <c r="P34" s="163">
        <v>5500</v>
      </c>
      <c r="Q34" s="52">
        <f>(P34*D34)</f>
        <v>1007490</v>
      </c>
      <c r="R34" s="161">
        <v>600</v>
      </c>
      <c r="S34" s="52">
        <f>(R34*D34)</f>
        <v>109908</v>
      </c>
      <c r="T34" s="52">
        <f>(S34+Q34+O34)</f>
        <v>7488665</v>
      </c>
    </row>
    <row r="35" spans="1:20" ht="12.75">
      <c r="A35" s="43" t="s">
        <v>843</v>
      </c>
      <c r="B35" s="43" t="s">
        <v>361</v>
      </c>
      <c r="C35" s="43">
        <v>188</v>
      </c>
      <c r="D35" s="45"/>
      <c r="E35" s="46"/>
      <c r="F35" s="43">
        <v>3550</v>
      </c>
      <c r="G35" s="45"/>
      <c r="H35" s="46"/>
      <c r="I35" s="43">
        <v>3770</v>
      </c>
      <c r="J35" s="45"/>
      <c r="K35" s="45"/>
      <c r="L35" s="102"/>
      <c r="M35" s="43"/>
      <c r="N35" s="45"/>
      <c r="O35" s="52"/>
      <c r="P35" s="163"/>
      <c r="Q35" s="52"/>
      <c r="R35" s="161"/>
      <c r="S35" s="52"/>
      <c r="T35" s="52"/>
    </row>
    <row r="36" spans="1:20" ht="12.75">
      <c r="A36" s="43" t="s">
        <v>844</v>
      </c>
      <c r="B36" s="43" t="s">
        <v>361</v>
      </c>
      <c r="C36" s="43">
        <v>261</v>
      </c>
      <c r="D36" s="45">
        <f>(E10/100)*C36</f>
        <v>242.73000000000002</v>
      </c>
      <c r="E36" s="46">
        <f>(D36/L10)</f>
        <v>15.170625000000001</v>
      </c>
      <c r="F36" s="43">
        <v>4710</v>
      </c>
      <c r="G36" s="45">
        <f>(E10/100)*F36</f>
        <v>4380.3</v>
      </c>
      <c r="H36" s="46">
        <f>(G36/D36)</f>
        <v>18.04597701149425</v>
      </c>
      <c r="I36" s="43">
        <v>5240</v>
      </c>
      <c r="J36" s="45">
        <f>(E10/100)*I36</f>
        <v>4873.2</v>
      </c>
      <c r="K36" s="45">
        <f>(J36/L10)</f>
        <v>304.575</v>
      </c>
      <c r="L36" s="102">
        <f>(J36/D36)</f>
        <v>20.07662835249042</v>
      </c>
      <c r="M36" s="43">
        <v>1735</v>
      </c>
      <c r="N36" s="45">
        <f>(M36*L36)</f>
        <v>34832.95019157088</v>
      </c>
      <c r="O36" s="52">
        <f>(N36*D36)</f>
        <v>8455002</v>
      </c>
      <c r="P36" s="163">
        <v>5500</v>
      </c>
      <c r="Q36" s="52">
        <f>(P36*D36)</f>
        <v>1335015</v>
      </c>
      <c r="R36" s="161">
        <v>600</v>
      </c>
      <c r="S36" s="52">
        <f>(R36*D36)</f>
        <v>145638</v>
      </c>
      <c r="T36" s="52">
        <f>(S36+Q36+O36)</f>
        <v>9935655</v>
      </c>
    </row>
    <row r="37" spans="1:20" ht="12.75">
      <c r="A37" s="43" t="s">
        <v>845</v>
      </c>
      <c r="B37" s="43" t="s">
        <v>361</v>
      </c>
      <c r="C37" s="43">
        <v>261</v>
      </c>
      <c r="D37" s="45">
        <f>(E12/100)*C37</f>
        <v>242.73000000000002</v>
      </c>
      <c r="E37" s="46">
        <f>(D37/L12)</f>
        <v>15.170625000000001</v>
      </c>
      <c r="F37" s="43">
        <v>4930</v>
      </c>
      <c r="G37" s="45">
        <f>(E12/100)*F37</f>
        <v>4584.900000000001</v>
      </c>
      <c r="H37" s="46">
        <f>(G37/D37)</f>
        <v>18.88888888888889</v>
      </c>
      <c r="I37" s="43">
        <v>5240</v>
      </c>
      <c r="J37" s="45">
        <f>(E12/100)*I37</f>
        <v>4873.2</v>
      </c>
      <c r="K37" s="45">
        <f>(J37/L12)</f>
        <v>304.575</v>
      </c>
      <c r="L37" s="102">
        <f>(J37/D37)</f>
        <v>20.07662835249042</v>
      </c>
      <c r="M37" s="43">
        <v>1735</v>
      </c>
      <c r="N37" s="45">
        <f>(M37*L37)</f>
        <v>34832.95019157088</v>
      </c>
      <c r="O37" s="52">
        <f>(N37*D37)</f>
        <v>8455002</v>
      </c>
      <c r="P37" s="163">
        <v>5500</v>
      </c>
      <c r="Q37" s="52">
        <f>(P37*D37)</f>
        <v>1335015</v>
      </c>
      <c r="R37" s="161">
        <v>600</v>
      </c>
      <c r="S37" s="52">
        <f>(R37*D37)</f>
        <v>145638</v>
      </c>
      <c r="T37" s="52">
        <f>(S37+Q37+O37)</f>
        <v>9935655</v>
      </c>
    </row>
    <row r="38" spans="1:20" ht="12.75">
      <c r="A38" s="43" t="s">
        <v>846</v>
      </c>
      <c r="B38" s="43" t="s">
        <v>361</v>
      </c>
      <c r="C38" s="43">
        <v>223</v>
      </c>
      <c r="D38" s="45"/>
      <c r="E38" s="46"/>
      <c r="F38" s="43">
        <v>4200</v>
      </c>
      <c r="G38" s="45"/>
      <c r="H38" s="46"/>
      <c r="I38" s="43">
        <v>4460</v>
      </c>
      <c r="J38" s="45"/>
      <c r="K38" s="45"/>
      <c r="L38" s="102"/>
      <c r="M38" s="43"/>
      <c r="N38" s="45"/>
      <c r="O38" s="52"/>
      <c r="P38" s="163"/>
      <c r="Q38" s="52"/>
      <c r="R38" s="161"/>
      <c r="S38" s="52"/>
      <c r="T38" s="52"/>
    </row>
    <row r="39" spans="1:20" ht="12.75">
      <c r="A39" s="43" t="s">
        <v>847</v>
      </c>
      <c r="B39" s="43" t="s">
        <v>361</v>
      </c>
      <c r="C39" s="43">
        <v>283</v>
      </c>
      <c r="D39" s="45"/>
      <c r="E39" s="46"/>
      <c r="F39" s="43">
        <v>5330</v>
      </c>
      <c r="G39" s="45"/>
      <c r="H39" s="46"/>
      <c r="I39" s="43">
        <v>5660</v>
      </c>
      <c r="J39" s="45"/>
      <c r="K39" s="45"/>
      <c r="L39" s="102"/>
      <c r="M39" s="43"/>
      <c r="N39" s="45"/>
      <c r="O39" s="52"/>
      <c r="P39" s="163"/>
      <c r="Q39" s="52"/>
      <c r="R39" s="161"/>
      <c r="S39" s="52"/>
      <c r="T39" s="52"/>
    </row>
    <row r="40" spans="1:20" ht="12.75">
      <c r="A40" s="43" t="s">
        <v>848</v>
      </c>
      <c r="B40" s="43" t="s">
        <v>361</v>
      </c>
      <c r="C40" s="43">
        <v>262</v>
      </c>
      <c r="D40" s="45">
        <f>(E18/100)*C40</f>
        <v>230.56</v>
      </c>
      <c r="E40" s="46">
        <f>(D40/L18)</f>
        <v>14.41</v>
      </c>
      <c r="F40" s="43">
        <v>4940</v>
      </c>
      <c r="G40" s="45">
        <f>(E18/100)*F40</f>
        <v>4347.2</v>
      </c>
      <c r="H40" s="46">
        <f>(G40/D40)</f>
        <v>18.85496183206107</v>
      </c>
      <c r="I40" s="43">
        <v>5240</v>
      </c>
      <c r="J40" s="45">
        <f>(E18/100)*I40</f>
        <v>4611.2</v>
      </c>
      <c r="K40" s="45">
        <f>(J40/L18)</f>
        <v>288.2</v>
      </c>
      <c r="L40" s="102">
        <f>(J40/D40)</f>
        <v>20</v>
      </c>
      <c r="M40" s="43">
        <v>1735</v>
      </c>
      <c r="N40" s="45">
        <f>(M40*L40)</f>
        <v>34700</v>
      </c>
      <c r="O40" s="52">
        <f>(N40*D40)</f>
        <v>8000432</v>
      </c>
      <c r="P40" s="163">
        <v>5500</v>
      </c>
      <c r="Q40" s="52">
        <f>(P40*D40)</f>
        <v>1268080</v>
      </c>
      <c r="R40" s="161">
        <v>600</v>
      </c>
      <c r="S40" s="52">
        <f>(R40*D40)</f>
        <v>138336</v>
      </c>
      <c r="T40" s="52">
        <f>(S40+Q40+O40)</f>
        <v>9406848</v>
      </c>
    </row>
    <row r="41" spans="1:20" ht="12.75">
      <c r="A41" s="48" t="s">
        <v>747</v>
      </c>
      <c r="B41" s="48" t="s">
        <v>361</v>
      </c>
      <c r="C41" s="48">
        <v>439</v>
      </c>
      <c r="D41" s="53"/>
      <c r="E41" s="54"/>
      <c r="F41" s="48">
        <v>8290</v>
      </c>
      <c r="G41" s="53"/>
      <c r="H41" s="54"/>
      <c r="I41" s="48">
        <v>8800</v>
      </c>
      <c r="J41" s="53"/>
      <c r="K41" s="53"/>
      <c r="L41" s="174"/>
      <c r="M41" s="48"/>
      <c r="N41" s="53"/>
      <c r="O41" s="49"/>
      <c r="P41" s="163"/>
      <c r="Q41" s="49"/>
      <c r="R41" s="161"/>
      <c r="S41" s="49"/>
      <c r="T41" s="49"/>
    </row>
    <row r="42" spans="1:20" ht="12.75">
      <c r="A42" s="43" t="s">
        <v>748</v>
      </c>
      <c r="B42" s="43" t="s">
        <v>361</v>
      </c>
      <c r="C42" s="43">
        <v>171</v>
      </c>
      <c r="D42" s="45"/>
      <c r="E42" s="46"/>
      <c r="F42" s="43">
        <v>3230</v>
      </c>
      <c r="G42" s="45"/>
      <c r="H42" s="46"/>
      <c r="I42" s="43">
        <v>3430</v>
      </c>
      <c r="J42" s="45"/>
      <c r="K42" s="45"/>
      <c r="L42" s="102"/>
      <c r="M42" s="43"/>
      <c r="N42" s="45"/>
      <c r="O42" s="52"/>
      <c r="P42" s="163"/>
      <c r="Q42" s="52"/>
      <c r="R42" s="161"/>
      <c r="S42" s="52"/>
      <c r="T42" s="52"/>
    </row>
    <row r="43" spans="1:20" ht="12.75">
      <c r="A43" s="43" t="s">
        <v>749</v>
      </c>
      <c r="B43" s="43" t="s">
        <v>361</v>
      </c>
      <c r="C43" s="43">
        <v>215</v>
      </c>
      <c r="D43" s="45">
        <f>(E24/100)*C43</f>
        <v>172</v>
      </c>
      <c r="E43" s="46">
        <f>(D43/L24)</f>
        <v>14.333333333333334</v>
      </c>
      <c r="F43" s="43">
        <v>4050</v>
      </c>
      <c r="G43" s="45">
        <f>(E24/100)*F43</f>
        <v>3240</v>
      </c>
      <c r="H43" s="46">
        <f>(G43/D43)</f>
        <v>18.837209302325583</v>
      </c>
      <c r="I43" s="43">
        <v>4300</v>
      </c>
      <c r="J43" s="45">
        <f>(E24/100)*I43</f>
        <v>3440</v>
      </c>
      <c r="K43" s="45">
        <f>(J43/L24)</f>
        <v>286.6666666666667</v>
      </c>
      <c r="L43" s="102">
        <f>(J43/D43)</f>
        <v>20</v>
      </c>
      <c r="M43" s="43">
        <v>1735</v>
      </c>
      <c r="N43" s="45">
        <f>(M43*L43)</f>
        <v>34700</v>
      </c>
      <c r="O43" s="52">
        <f>(N43*D43)</f>
        <v>5968400</v>
      </c>
      <c r="P43" s="163">
        <v>5500</v>
      </c>
      <c r="Q43" s="52">
        <f>(P43*D43)</f>
        <v>946000</v>
      </c>
      <c r="R43" s="161">
        <v>600</v>
      </c>
      <c r="S43" s="52">
        <f>(R43*D43)</f>
        <v>103200</v>
      </c>
      <c r="T43" s="52">
        <f>(S43+Q43+O43)</f>
        <v>7017600</v>
      </c>
    </row>
    <row r="44" spans="1:20" ht="12.75">
      <c r="A44" s="48" t="s">
        <v>856</v>
      </c>
      <c r="B44" s="48" t="s">
        <v>361</v>
      </c>
      <c r="C44" s="48">
        <v>597</v>
      </c>
      <c r="D44" s="53"/>
      <c r="E44" s="54"/>
      <c r="F44" s="48">
        <v>11300</v>
      </c>
      <c r="G44" s="53"/>
      <c r="H44" s="54"/>
      <c r="I44" s="48">
        <v>12000</v>
      </c>
      <c r="J44" s="53"/>
      <c r="K44" s="53"/>
      <c r="L44" s="174"/>
      <c r="M44" s="48"/>
      <c r="N44" s="53"/>
      <c r="O44" s="49"/>
      <c r="P44" s="163"/>
      <c r="Q44" s="49"/>
      <c r="R44" s="161"/>
      <c r="S44" s="49"/>
      <c r="T44" s="49"/>
    </row>
    <row r="45" spans="1:20" ht="12.75">
      <c r="A45" s="48" t="s">
        <v>555</v>
      </c>
      <c r="B45" s="48"/>
      <c r="C45" s="48">
        <f>SUM(C34:C44)</f>
        <v>3113</v>
      </c>
      <c r="D45" s="53"/>
      <c r="E45" s="54"/>
      <c r="F45" s="48"/>
      <c r="G45" s="53"/>
      <c r="H45" s="54"/>
      <c r="I45" s="48"/>
      <c r="J45" s="53"/>
      <c r="K45" s="53"/>
      <c r="L45" s="174"/>
      <c r="M45" s="48"/>
      <c r="N45" s="53"/>
      <c r="O45" s="49"/>
      <c r="P45" s="163"/>
      <c r="Q45" s="49"/>
      <c r="R45" s="161"/>
      <c r="S45" s="49"/>
      <c r="T45" s="49"/>
    </row>
    <row r="46" spans="1:20" ht="27" customHeight="1">
      <c r="A46" s="55" t="s">
        <v>129</v>
      </c>
      <c r="B46" s="55" t="s">
        <v>528</v>
      </c>
      <c r="C46" s="55" t="s">
        <v>556</v>
      </c>
      <c r="D46" s="55">
        <v>4</v>
      </c>
      <c r="E46" s="56" t="s">
        <v>556</v>
      </c>
      <c r="F46" s="55">
        <f>(1*D28)</f>
        <v>747.88</v>
      </c>
      <c r="G46" s="55">
        <f>(E28/100)*F46</f>
        <v>747.88</v>
      </c>
      <c r="H46" s="56">
        <f>(G46/D46)</f>
        <v>186.97</v>
      </c>
      <c r="I46" s="55">
        <f>(1*F46)</f>
        <v>747.88</v>
      </c>
      <c r="J46" s="55">
        <f>(1*F28)</f>
        <v>747.88</v>
      </c>
      <c r="K46" s="55" t="s">
        <v>556</v>
      </c>
      <c r="L46" s="73">
        <f>(J46/D46)</f>
        <v>186.97</v>
      </c>
      <c r="M46" s="55">
        <f>(1*M34)</f>
        <v>1735</v>
      </c>
      <c r="N46" s="57">
        <f>(M46*L46)</f>
        <v>324392.95</v>
      </c>
      <c r="O46" s="58">
        <f>(N46*D46)</f>
        <v>1297571.8</v>
      </c>
      <c r="P46" s="164">
        <v>0</v>
      </c>
      <c r="Q46" s="55">
        <f>(P46*D46)</f>
        <v>0</v>
      </c>
      <c r="R46" s="162">
        <f>(1*R34)</f>
        <v>600</v>
      </c>
      <c r="S46" s="58">
        <f>(R46*D46)</f>
        <v>2400</v>
      </c>
      <c r="T46" s="58">
        <f>(S46+Q46+O46)</f>
        <v>1299971.8</v>
      </c>
    </row>
    <row r="47" spans="1:20" ht="78.75" customHeight="1">
      <c r="A47" s="59"/>
      <c r="B47" s="60" t="s">
        <v>360</v>
      </c>
      <c r="C47" s="60" t="s">
        <v>362</v>
      </c>
      <c r="D47" s="60" t="s">
        <v>2</v>
      </c>
      <c r="E47" s="60" t="s">
        <v>556</v>
      </c>
      <c r="F47" s="60" t="s">
        <v>594</v>
      </c>
      <c r="G47" s="60" t="s">
        <v>3</v>
      </c>
      <c r="H47" s="60" t="s">
        <v>4</v>
      </c>
      <c r="I47" s="60" t="s">
        <v>595</v>
      </c>
      <c r="J47" s="60" t="s">
        <v>5</v>
      </c>
      <c r="K47" s="60" t="s">
        <v>556</v>
      </c>
      <c r="L47" s="60" t="s">
        <v>1216</v>
      </c>
      <c r="M47" s="60" t="s">
        <v>711</v>
      </c>
      <c r="N47" s="60" t="s">
        <v>713</v>
      </c>
      <c r="O47" s="60" t="s">
        <v>6</v>
      </c>
      <c r="P47" s="170" t="s">
        <v>714</v>
      </c>
      <c r="Q47" s="60" t="s">
        <v>715</v>
      </c>
      <c r="R47" s="172" t="s">
        <v>716</v>
      </c>
      <c r="S47" s="60" t="s">
        <v>8</v>
      </c>
      <c r="T47" s="60" t="s">
        <v>7</v>
      </c>
    </row>
    <row r="48" spans="1:20" ht="12.75">
      <c r="A48" s="59" t="s">
        <v>1</v>
      </c>
      <c r="B48" s="59" t="s">
        <v>361</v>
      </c>
      <c r="C48" s="59">
        <f>(1*C34)</f>
        <v>213</v>
      </c>
      <c r="D48" s="61">
        <f>(C34-D34)</f>
        <v>29.819999999999993</v>
      </c>
      <c r="E48" s="62"/>
      <c r="F48" s="59">
        <f>(1*F34)</f>
        <v>4030</v>
      </c>
      <c r="G48" s="61">
        <f>((100-E4)/100)*F48</f>
        <v>564.2</v>
      </c>
      <c r="H48" s="62">
        <f>(G48/D48)</f>
        <v>18.920187793427235</v>
      </c>
      <c r="I48" s="59">
        <f>(1*I34)</f>
        <v>4270</v>
      </c>
      <c r="J48" s="61">
        <f>((100-E4)/100)*I48</f>
        <v>597.8000000000001</v>
      </c>
      <c r="K48" s="61"/>
      <c r="L48" s="62">
        <f>(J48/D48)</f>
        <v>20.04694835680752</v>
      </c>
      <c r="M48" s="59">
        <f>(1*M34)</f>
        <v>1735</v>
      </c>
      <c r="N48" s="61">
        <f>(M48*L48)</f>
        <v>34781.455399061044</v>
      </c>
      <c r="O48" s="63">
        <f>(N48*D48)</f>
        <v>1037183.0000000001</v>
      </c>
      <c r="P48" s="171">
        <f>(1*P34)</f>
        <v>5500</v>
      </c>
      <c r="Q48" s="63">
        <f>(P48*D48)</f>
        <v>164009.99999999997</v>
      </c>
      <c r="R48" s="173">
        <f>(1*R34)</f>
        <v>600</v>
      </c>
      <c r="S48" s="59">
        <f>(R48*D48)</f>
        <v>17891.999999999996</v>
      </c>
      <c r="T48" s="63">
        <f>(S48+Q48+O48)</f>
        <v>1219085</v>
      </c>
    </row>
    <row r="49" spans="1:20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163"/>
      <c r="Q49" s="43"/>
      <c r="R49" s="161"/>
      <c r="S49" s="43"/>
      <c r="T49" s="43"/>
    </row>
    <row r="50" spans="1:20" ht="12.75">
      <c r="A50" s="51" t="s">
        <v>22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163"/>
      <c r="Q50" s="43"/>
      <c r="R50" s="161"/>
      <c r="S50" s="43"/>
      <c r="T50" s="43"/>
    </row>
    <row r="52" ht="12.75">
      <c r="A52" t="s">
        <v>417</v>
      </c>
    </row>
    <row r="53" spans="1:13" ht="66" customHeight="1">
      <c r="A53" s="55" t="s">
        <v>672</v>
      </c>
      <c r="B53" s="55" t="s">
        <v>360</v>
      </c>
      <c r="C53" s="55" t="s">
        <v>408</v>
      </c>
      <c r="D53" s="55" t="s">
        <v>410</v>
      </c>
      <c r="E53" s="55" t="s">
        <v>420</v>
      </c>
      <c r="F53" s="55" t="s">
        <v>411</v>
      </c>
      <c r="G53" s="55" t="s">
        <v>412</v>
      </c>
      <c r="H53" s="55" t="s">
        <v>418</v>
      </c>
      <c r="I53" s="55" t="s">
        <v>715</v>
      </c>
      <c r="J53" s="55" t="s">
        <v>414</v>
      </c>
      <c r="K53" s="55" t="s">
        <v>413</v>
      </c>
      <c r="L53" s="55" t="s">
        <v>415</v>
      </c>
      <c r="M53" s="55" t="s">
        <v>416</v>
      </c>
    </row>
    <row r="54" spans="1:13" ht="12.75">
      <c r="A54" s="43" t="s">
        <v>406</v>
      </c>
      <c r="B54" s="43" t="s">
        <v>361</v>
      </c>
      <c r="C54" s="43">
        <v>183</v>
      </c>
      <c r="D54" s="43">
        <v>20.05</v>
      </c>
      <c r="E54" s="43">
        <v>1735</v>
      </c>
      <c r="F54" s="43">
        <f>(E54*D54)</f>
        <v>34786.75</v>
      </c>
      <c r="G54" s="52">
        <f>(F54*C54)</f>
        <v>6365975.25</v>
      </c>
      <c r="H54" s="43">
        <v>5500</v>
      </c>
      <c r="I54" s="52">
        <f>(H54*C54)</f>
        <v>1006500</v>
      </c>
      <c r="J54" s="43">
        <v>600</v>
      </c>
      <c r="K54" s="52">
        <f>(J54*C54)</f>
        <v>109800</v>
      </c>
      <c r="L54" s="52">
        <v>524000</v>
      </c>
      <c r="M54" s="52">
        <f>(L54+K54+I54+G54)</f>
        <v>8006275.25</v>
      </c>
    </row>
    <row r="55" spans="1:13" ht="12.75">
      <c r="A55" s="43" t="s">
        <v>406</v>
      </c>
      <c r="B55" s="43" t="s">
        <v>361</v>
      </c>
      <c r="C55" s="43">
        <v>183</v>
      </c>
      <c r="D55" s="43">
        <v>20.05</v>
      </c>
      <c r="E55" s="43">
        <v>1735</v>
      </c>
      <c r="F55" s="43">
        <f>(E55*D55)</f>
        <v>34786.75</v>
      </c>
      <c r="G55" s="52">
        <f>(F55*C55)</f>
        <v>6365975.25</v>
      </c>
      <c r="H55" s="43">
        <v>22000</v>
      </c>
      <c r="I55" s="52">
        <f>(H55*C55)</f>
        <v>4026000</v>
      </c>
      <c r="J55" s="43">
        <v>600</v>
      </c>
      <c r="K55" s="52">
        <f>(J55*C55)</f>
        <v>109800</v>
      </c>
      <c r="L55" s="52">
        <v>524000</v>
      </c>
      <c r="M55" s="52">
        <f>(L55+K55+I55+G55)</f>
        <v>11025775.25</v>
      </c>
    </row>
    <row r="56" spans="1:13" ht="12.75">
      <c r="A56" s="43" t="s">
        <v>407</v>
      </c>
      <c r="B56" s="43" t="s">
        <v>361</v>
      </c>
      <c r="C56" s="43">
        <v>30</v>
      </c>
      <c r="D56" s="43">
        <v>20.05</v>
      </c>
      <c r="E56" s="43">
        <v>1735</v>
      </c>
      <c r="F56" s="43">
        <f>(E56*D56)</f>
        <v>34786.75</v>
      </c>
      <c r="G56" s="52">
        <f>(F56*C56)</f>
        <v>1043602.5</v>
      </c>
      <c r="H56" s="43">
        <v>5500</v>
      </c>
      <c r="I56" s="52">
        <f>(H56*C56)</f>
        <v>165000</v>
      </c>
      <c r="J56" s="43">
        <v>600</v>
      </c>
      <c r="K56" s="52">
        <f>(J56*C56)</f>
        <v>18000</v>
      </c>
      <c r="L56" s="52">
        <f>(L57-L54)</f>
        <v>82000</v>
      </c>
      <c r="M56" s="52">
        <f>(L56+K56+I56+G56)</f>
        <v>1308602.5</v>
      </c>
    </row>
    <row r="57" spans="1:13" ht="12.75">
      <c r="A57" s="43" t="s">
        <v>409</v>
      </c>
      <c r="B57" s="43" t="s">
        <v>361</v>
      </c>
      <c r="C57" s="43">
        <f>(C56+C54)</f>
        <v>213</v>
      </c>
      <c r="D57" s="43">
        <v>20.05</v>
      </c>
      <c r="E57" s="43">
        <v>1735</v>
      </c>
      <c r="F57" s="43">
        <f>(E57*D57)</f>
        <v>34786.75</v>
      </c>
      <c r="G57" s="52">
        <f>(F57*C57)</f>
        <v>7409577.75</v>
      </c>
      <c r="H57" s="43">
        <v>5500</v>
      </c>
      <c r="I57" s="52">
        <f>(H57*C57)</f>
        <v>1171500</v>
      </c>
      <c r="J57" s="43">
        <v>600</v>
      </c>
      <c r="K57" s="52">
        <f>(J57*C57)</f>
        <v>127800</v>
      </c>
      <c r="L57" s="52">
        <v>606000</v>
      </c>
      <c r="M57" s="52">
        <f>(L57+K57+I57+G57)</f>
        <v>9314877.75</v>
      </c>
    </row>
    <row r="58" spans="1:7" ht="12.75">
      <c r="A58" s="10" t="s">
        <v>425</v>
      </c>
      <c r="B58" s="10"/>
      <c r="C58" s="10"/>
      <c r="D58" s="10"/>
      <c r="E58" s="10"/>
      <c r="F58" s="10"/>
      <c r="G58" s="10"/>
    </row>
    <row r="60" ht="12.75">
      <c r="A60" t="s">
        <v>419</v>
      </c>
    </row>
    <row r="61" spans="1:13" ht="68.25" customHeight="1">
      <c r="A61" s="55" t="s">
        <v>672</v>
      </c>
      <c r="B61" s="55" t="s">
        <v>360</v>
      </c>
      <c r="C61" s="55" t="s">
        <v>408</v>
      </c>
      <c r="D61" s="55" t="s">
        <v>410</v>
      </c>
      <c r="E61" s="55" t="s">
        <v>421</v>
      </c>
      <c r="F61" s="55" t="s">
        <v>411</v>
      </c>
      <c r="G61" s="55" t="s">
        <v>412</v>
      </c>
      <c r="H61" s="55" t="s">
        <v>423</v>
      </c>
      <c r="I61" s="55" t="s">
        <v>715</v>
      </c>
      <c r="J61" s="55" t="s">
        <v>426</v>
      </c>
      <c r="K61" s="55" t="s">
        <v>413</v>
      </c>
      <c r="L61" s="55" t="s">
        <v>415</v>
      </c>
      <c r="M61" s="55" t="s">
        <v>416</v>
      </c>
    </row>
    <row r="62" spans="1:13" ht="12.75">
      <c r="A62" s="43" t="s">
        <v>406</v>
      </c>
      <c r="B62" s="43" t="s">
        <v>361</v>
      </c>
      <c r="C62" s="43">
        <v>183</v>
      </c>
      <c r="D62" s="43">
        <v>20.05</v>
      </c>
      <c r="E62" s="43">
        <v>2911</v>
      </c>
      <c r="F62" s="43">
        <f>(E62*D62)</f>
        <v>58365.55</v>
      </c>
      <c r="G62" s="249">
        <f>(F62*C62)</f>
        <v>10680895.65</v>
      </c>
      <c r="H62" s="43">
        <v>8000</v>
      </c>
      <c r="I62" s="249">
        <f>(H62*C62)</f>
        <v>1464000</v>
      </c>
      <c r="J62" s="43">
        <v>837</v>
      </c>
      <c r="K62" s="52">
        <f>(J62*C62)</f>
        <v>153171</v>
      </c>
      <c r="L62" s="52">
        <v>524000</v>
      </c>
      <c r="M62" s="249">
        <f>(L62+K62+I62+G62)</f>
        <v>12822066.65</v>
      </c>
    </row>
    <row r="63" spans="1:13" ht="12.75">
      <c r="A63" s="43" t="s">
        <v>406</v>
      </c>
      <c r="B63" s="43" t="s">
        <v>361</v>
      </c>
      <c r="C63" s="43">
        <v>183</v>
      </c>
      <c r="D63" s="43">
        <v>20.05</v>
      </c>
      <c r="E63" s="43">
        <v>2911</v>
      </c>
      <c r="F63" s="43">
        <f>(E63*D63)</f>
        <v>58365.55</v>
      </c>
      <c r="G63" s="249">
        <f>(F63*C63)</f>
        <v>10680895.65</v>
      </c>
      <c r="H63" s="43">
        <v>22000</v>
      </c>
      <c r="I63" s="249">
        <f>(H63*C63)</f>
        <v>4026000</v>
      </c>
      <c r="J63" s="43">
        <v>837</v>
      </c>
      <c r="K63" s="52">
        <f>(J63*C63)</f>
        <v>153171</v>
      </c>
      <c r="L63" s="52">
        <v>524000</v>
      </c>
      <c r="M63" s="249">
        <f>(L63+K63+I63+G63)</f>
        <v>15384066.65</v>
      </c>
    </row>
    <row r="64" spans="1:13" ht="12.75">
      <c r="A64" s="43" t="s">
        <v>407</v>
      </c>
      <c r="B64" s="43" t="s">
        <v>361</v>
      </c>
      <c r="C64" s="43">
        <v>30</v>
      </c>
      <c r="D64" s="43">
        <v>20.05</v>
      </c>
      <c r="E64" s="43">
        <v>2911</v>
      </c>
      <c r="F64" s="43">
        <f>(E64*D64)</f>
        <v>58365.55</v>
      </c>
      <c r="G64" s="249">
        <f>(F64*C64)</f>
        <v>1750966.5</v>
      </c>
      <c r="H64" s="43">
        <v>8000</v>
      </c>
      <c r="I64" s="249">
        <f>(H64*C64)</f>
        <v>240000</v>
      </c>
      <c r="J64" s="43">
        <v>837</v>
      </c>
      <c r="K64" s="52">
        <f>(J64*C64)</f>
        <v>25110</v>
      </c>
      <c r="L64" s="52">
        <f>(L65-L62)</f>
        <v>82000</v>
      </c>
      <c r="M64" s="249">
        <f>(L64+K64+I64+G64)</f>
        <v>2098076.5</v>
      </c>
    </row>
    <row r="65" spans="1:13" ht="12.75">
      <c r="A65" s="43" t="s">
        <v>409</v>
      </c>
      <c r="B65" s="43" t="s">
        <v>361</v>
      </c>
      <c r="C65" s="43">
        <f>(C64+C62)</f>
        <v>213</v>
      </c>
      <c r="D65" s="43">
        <v>20.05</v>
      </c>
      <c r="E65" s="43">
        <v>2911</v>
      </c>
      <c r="F65" s="43">
        <f>(E65*D65)</f>
        <v>58365.55</v>
      </c>
      <c r="G65" s="249">
        <f>(F65*C65)</f>
        <v>12431862.15</v>
      </c>
      <c r="H65" s="43">
        <v>8000</v>
      </c>
      <c r="I65" s="249">
        <f>(H65*C65)</f>
        <v>1704000</v>
      </c>
      <c r="J65" s="43">
        <v>837</v>
      </c>
      <c r="K65" s="52">
        <f>(J65*C65)</f>
        <v>178281</v>
      </c>
      <c r="L65" s="52">
        <v>606000</v>
      </c>
      <c r="M65" s="249">
        <f>(L65+K65+I65+G65)</f>
        <v>14920143.15</v>
      </c>
    </row>
    <row r="66" ht="12.75">
      <c r="A66" s="248" t="s">
        <v>422</v>
      </c>
    </row>
    <row r="67" ht="12.75">
      <c r="A67" s="248" t="s">
        <v>424</v>
      </c>
    </row>
    <row r="68" ht="12.75">
      <c r="A68" s="248" t="s">
        <v>427</v>
      </c>
    </row>
    <row r="70" ht="12.75">
      <c r="A70" t="s">
        <v>733</v>
      </c>
    </row>
    <row r="71" spans="1:13" ht="65.25">
      <c r="A71" s="55" t="s">
        <v>672</v>
      </c>
      <c r="B71" s="55" t="s">
        <v>360</v>
      </c>
      <c r="C71" s="55" t="s">
        <v>408</v>
      </c>
      <c r="D71" s="55" t="s">
        <v>410</v>
      </c>
      <c r="E71" s="55" t="s">
        <v>420</v>
      </c>
      <c r="F71" s="55" t="s">
        <v>411</v>
      </c>
      <c r="G71" s="55" t="s">
        <v>412</v>
      </c>
      <c r="H71" s="55" t="s">
        <v>739</v>
      </c>
      <c r="I71" s="55" t="s">
        <v>715</v>
      </c>
      <c r="J71" s="55" t="s">
        <v>742</v>
      </c>
      <c r="K71" s="55" t="s">
        <v>413</v>
      </c>
      <c r="L71" s="55" t="s">
        <v>415</v>
      </c>
      <c r="M71" s="55" t="s">
        <v>416</v>
      </c>
    </row>
    <row r="72" spans="1:13" ht="12.75">
      <c r="A72" s="43" t="s">
        <v>735</v>
      </c>
      <c r="B72" s="43" t="s">
        <v>556</v>
      </c>
      <c r="C72" s="43">
        <v>4</v>
      </c>
      <c r="D72" s="43">
        <v>190</v>
      </c>
      <c r="E72" s="43">
        <v>1735</v>
      </c>
      <c r="F72" s="43">
        <f>(E72*D72)</f>
        <v>329650</v>
      </c>
      <c r="G72" s="52">
        <f>(F72*C72)</f>
        <v>1318600</v>
      </c>
      <c r="H72" s="43">
        <v>10500</v>
      </c>
      <c r="I72" s="52">
        <f>(H72*C72)</f>
        <v>42000</v>
      </c>
      <c r="J72" s="43">
        <f>(7*600)</f>
        <v>4200</v>
      </c>
      <c r="K72" s="52">
        <f>(J72*C72)</f>
        <v>16800</v>
      </c>
      <c r="L72" s="52">
        <v>820000</v>
      </c>
      <c r="M72" s="52">
        <f>(L72+K72+I72+G72)</f>
        <v>2197400</v>
      </c>
    </row>
    <row r="73" spans="1:13" ht="12.75">
      <c r="A73" s="43" t="s">
        <v>736</v>
      </c>
      <c r="B73" s="43" t="s">
        <v>734</v>
      </c>
      <c r="C73" s="43">
        <v>35</v>
      </c>
      <c r="D73" s="43">
        <v>19.5</v>
      </c>
      <c r="E73" s="43">
        <v>1735</v>
      </c>
      <c r="F73" s="43">
        <f>(E73*D73)</f>
        <v>33832.5</v>
      </c>
      <c r="G73" s="52">
        <f>(F73*C73)</f>
        <v>1184137.5</v>
      </c>
      <c r="H73" s="43">
        <v>5500</v>
      </c>
      <c r="I73" s="52">
        <f>(H73*C73)</f>
        <v>192500</v>
      </c>
      <c r="J73" s="43">
        <v>600</v>
      </c>
      <c r="K73" s="52">
        <f>(J73*C73)</f>
        <v>21000</v>
      </c>
      <c r="L73" s="52">
        <v>820000</v>
      </c>
      <c r="M73" s="52">
        <f>(L73+K73+I73+G73)</f>
        <v>2217637.5</v>
      </c>
    </row>
    <row r="74" spans="1:13" ht="12.75">
      <c r="A74" s="250" t="s">
        <v>737</v>
      </c>
      <c r="B74" s="250" t="s">
        <v>547</v>
      </c>
      <c r="C74" s="43">
        <v>48</v>
      </c>
      <c r="D74" s="43">
        <v>19.5</v>
      </c>
      <c r="E74" s="43">
        <v>1735</v>
      </c>
      <c r="F74" s="43">
        <f>(E74*D74)</f>
        <v>33832.5</v>
      </c>
      <c r="G74" s="52">
        <f>(F74*C74)</f>
        <v>1623960</v>
      </c>
      <c r="H74" s="43">
        <v>5500</v>
      </c>
      <c r="I74" s="52">
        <f>(H74*C74)</f>
        <v>264000</v>
      </c>
      <c r="J74" s="43">
        <v>600</v>
      </c>
      <c r="K74" s="52">
        <f>(J74*C74)</f>
        <v>28800</v>
      </c>
      <c r="L74" s="52">
        <v>820000</v>
      </c>
      <c r="M74" s="52">
        <f>(L74+K74+I74+G74)</f>
        <v>2736760</v>
      </c>
    </row>
    <row r="75" spans="1:13" ht="12.75">
      <c r="A75" s="250" t="s">
        <v>738</v>
      </c>
      <c r="B75" s="250" t="s">
        <v>547</v>
      </c>
      <c r="C75" s="43">
        <v>75</v>
      </c>
      <c r="D75" s="43">
        <v>19.5</v>
      </c>
      <c r="E75" s="43">
        <v>1735</v>
      </c>
      <c r="F75" s="43">
        <f>(E75*D75)</f>
        <v>33832.5</v>
      </c>
      <c r="G75" s="52">
        <f>(F75*C75)</f>
        <v>2537437.5</v>
      </c>
      <c r="H75" s="43">
        <v>5500</v>
      </c>
      <c r="I75" s="52">
        <f>(H75*C75)</f>
        <v>412500</v>
      </c>
      <c r="J75" s="43">
        <v>600</v>
      </c>
      <c r="K75" s="52">
        <f>(J75*C75)</f>
        <v>45000</v>
      </c>
      <c r="L75" s="52">
        <v>820000</v>
      </c>
      <c r="M75" s="52">
        <f>(L75+K75+I75+G75)</f>
        <v>3814937.5</v>
      </c>
    </row>
    <row r="76" ht="12.75">
      <c r="A76" s="190" t="s">
        <v>740</v>
      </c>
    </row>
    <row r="78" ht="12.75">
      <c r="A78" t="s">
        <v>741</v>
      </c>
    </row>
    <row r="79" spans="1:13" ht="65.25">
      <c r="A79" s="55" t="s">
        <v>672</v>
      </c>
      <c r="B79" s="55" t="s">
        <v>360</v>
      </c>
      <c r="C79" s="55" t="s">
        <v>408</v>
      </c>
      <c r="D79" s="55" t="s">
        <v>410</v>
      </c>
      <c r="E79" s="55" t="s">
        <v>420</v>
      </c>
      <c r="F79" s="55" t="s">
        <v>411</v>
      </c>
      <c r="G79" s="55" t="s">
        <v>412</v>
      </c>
      <c r="H79" s="55" t="s">
        <v>739</v>
      </c>
      <c r="I79" s="55" t="s">
        <v>715</v>
      </c>
      <c r="J79" s="55" t="s">
        <v>743</v>
      </c>
      <c r="K79" s="55" t="s">
        <v>413</v>
      </c>
      <c r="L79" s="55" t="s">
        <v>415</v>
      </c>
      <c r="M79" s="55" t="s">
        <v>416</v>
      </c>
    </row>
    <row r="80" spans="1:13" ht="12.75">
      <c r="A80" s="43" t="s">
        <v>735</v>
      </c>
      <c r="B80" s="43" t="s">
        <v>556</v>
      </c>
      <c r="C80" s="43">
        <v>4</v>
      </c>
      <c r="D80" s="43">
        <v>190</v>
      </c>
      <c r="E80" s="43">
        <v>2911</v>
      </c>
      <c r="F80" s="43">
        <f>(E80*D80)</f>
        <v>553090</v>
      </c>
      <c r="G80" s="52">
        <f>(F80*C80)</f>
        <v>2212360</v>
      </c>
      <c r="H80" s="43">
        <v>13000</v>
      </c>
      <c r="I80" s="52">
        <f>(H80*C80)</f>
        <v>52000</v>
      </c>
      <c r="J80" s="43">
        <f>(7*600)</f>
        <v>4200</v>
      </c>
      <c r="K80" s="52">
        <f>(J80*C80)</f>
        <v>16800</v>
      </c>
      <c r="L80" s="52">
        <v>820000</v>
      </c>
      <c r="M80" s="52">
        <f>(L80+K80+I80+G80)</f>
        <v>3101160</v>
      </c>
    </row>
    <row r="81" spans="1:13" ht="12.75">
      <c r="A81" s="43" t="s">
        <v>736</v>
      </c>
      <c r="B81" s="43" t="s">
        <v>734</v>
      </c>
      <c r="C81" s="43">
        <v>35</v>
      </c>
      <c r="D81" s="43">
        <v>19.5</v>
      </c>
      <c r="E81" s="43">
        <v>2911</v>
      </c>
      <c r="F81" s="43">
        <f>(E81*D81)</f>
        <v>56764.5</v>
      </c>
      <c r="G81" s="52">
        <f>(F81*C81)</f>
        <v>1986757.5</v>
      </c>
      <c r="H81" s="43">
        <v>8000</v>
      </c>
      <c r="I81" s="52">
        <f>(H81*C81)</f>
        <v>280000</v>
      </c>
      <c r="J81" s="43">
        <v>19.32</v>
      </c>
      <c r="K81" s="52">
        <f>(J81*C81)</f>
        <v>676.2</v>
      </c>
      <c r="L81" s="52">
        <v>820000</v>
      </c>
      <c r="M81" s="52">
        <f>(L81+K81+I81+G81)</f>
        <v>3087433.7</v>
      </c>
    </row>
    <row r="82" spans="1:13" ht="12.75">
      <c r="A82" s="250" t="s">
        <v>737</v>
      </c>
      <c r="B82" s="250" t="s">
        <v>547</v>
      </c>
      <c r="C82" s="43">
        <v>48</v>
      </c>
      <c r="D82" s="43">
        <v>19.5</v>
      </c>
      <c r="E82" s="43">
        <v>2911</v>
      </c>
      <c r="F82" s="43">
        <f>(E82*D82)</f>
        <v>56764.5</v>
      </c>
      <c r="G82" s="52">
        <f>(F82*C82)</f>
        <v>2724696</v>
      </c>
      <c r="H82" s="43">
        <v>8000</v>
      </c>
      <c r="I82" s="52">
        <f>(H82*C82)</f>
        <v>384000</v>
      </c>
      <c r="J82" s="43">
        <v>19.32</v>
      </c>
      <c r="K82" s="52">
        <f>(J82*C82)</f>
        <v>927.36</v>
      </c>
      <c r="L82" s="52">
        <v>820000</v>
      </c>
      <c r="M82" s="52">
        <f>(L82+K82+I82+G82)</f>
        <v>3929623.36</v>
      </c>
    </row>
    <row r="83" spans="1:13" ht="12.75">
      <c r="A83" s="250" t="s">
        <v>738</v>
      </c>
      <c r="B83" s="250" t="s">
        <v>547</v>
      </c>
      <c r="C83" s="43">
        <v>75</v>
      </c>
      <c r="D83" s="43">
        <v>19.5</v>
      </c>
      <c r="E83" s="43">
        <v>2911</v>
      </c>
      <c r="F83" s="43">
        <f>(E83*D83)</f>
        <v>56764.5</v>
      </c>
      <c r="G83" s="52">
        <f>(F83*C83)</f>
        <v>4257337.5</v>
      </c>
      <c r="H83" s="43">
        <v>8000</v>
      </c>
      <c r="I83" s="52">
        <f>(H83*C83)</f>
        <v>600000</v>
      </c>
      <c r="J83" s="43">
        <v>19.32</v>
      </c>
      <c r="K83" s="52">
        <f>(J83*C83)</f>
        <v>1449</v>
      </c>
      <c r="L83" s="52">
        <v>820000</v>
      </c>
      <c r="M83" s="52">
        <f>(L83+K83+I83+G83)</f>
        <v>5678786.5</v>
      </c>
    </row>
    <row r="84" ht="12.75">
      <c r="A84" s="190" t="s">
        <v>745</v>
      </c>
    </row>
    <row r="85" ht="12.75">
      <c r="A85" s="190" t="s">
        <v>744</v>
      </c>
    </row>
  </sheetData>
  <sheetProtection/>
  <printOptions/>
  <pageMargins left="0.75" right="0.75" top="1" bottom="1" header="0.5" footer="0.5"/>
  <pageSetup horizontalDpi="600" verticalDpi="600" orientation="landscape" paperSize="9" scale="95"/>
  <colBreaks count="2" manualBreakCount="2">
    <brk id="6" max="48" man="1"/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59"/>
  <sheetViews>
    <sheetView zoomScalePageLayoutView="0" workbookViewId="0" topLeftCell="A106">
      <selection activeCell="B7" sqref="B7"/>
    </sheetView>
  </sheetViews>
  <sheetFormatPr defaultColWidth="8.8515625" defaultRowHeight="12.75"/>
  <cols>
    <col min="1" max="1" width="50.7109375" style="0" customWidth="1"/>
    <col min="2" max="2" width="13.8515625" style="0" customWidth="1"/>
    <col min="3" max="3" width="15.421875" style="0" customWidth="1"/>
    <col min="4" max="4" width="16.8515625" style="0" customWidth="1"/>
    <col min="5" max="5" width="13.140625" style="0" customWidth="1"/>
    <col min="6" max="6" width="18.140625" style="0" customWidth="1"/>
    <col min="7" max="7" width="20.421875" style="0" customWidth="1"/>
    <col min="8" max="8" width="13.421875" style="0" customWidth="1"/>
    <col min="9" max="9" width="14.8515625" style="0" customWidth="1"/>
    <col min="10" max="10" width="22.8515625" style="0" customWidth="1"/>
    <col min="11" max="11" width="25.140625" style="0" customWidth="1"/>
    <col min="12" max="12" width="16.7109375" style="0" customWidth="1"/>
  </cols>
  <sheetData>
    <row r="1" spans="1:12" ht="27.75" customHeight="1">
      <c r="A1" s="44" t="s">
        <v>519</v>
      </c>
      <c r="B1" s="55" t="s">
        <v>520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37.5" customHeight="1">
      <c r="A2" s="44" t="s">
        <v>601</v>
      </c>
      <c r="B2" s="55" t="s">
        <v>28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2.75">
      <c r="A3" s="44" t="s">
        <v>602</v>
      </c>
      <c r="B3" s="87">
        <v>40934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2.75">
      <c r="A4" s="44" t="s">
        <v>603</v>
      </c>
      <c r="B4" s="55" t="s">
        <v>522</v>
      </c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54" customHeight="1">
      <c r="A5" s="44" t="s">
        <v>604</v>
      </c>
      <c r="B5" s="55" t="s">
        <v>24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2.7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20.25">
      <c r="A7" s="88" t="s">
        <v>480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39" customHeight="1">
      <c r="A8" s="44" t="s">
        <v>578</v>
      </c>
      <c r="B8" s="44" t="s">
        <v>57</v>
      </c>
      <c r="C8" s="44" t="s">
        <v>440</v>
      </c>
      <c r="D8" s="44" t="s">
        <v>178</v>
      </c>
      <c r="E8" s="44" t="s">
        <v>225</v>
      </c>
      <c r="F8" s="44" t="s">
        <v>820</v>
      </c>
      <c r="G8" s="44" t="s">
        <v>52</v>
      </c>
      <c r="H8" s="43"/>
      <c r="I8" s="43"/>
      <c r="J8" s="43"/>
      <c r="K8" s="44" t="s">
        <v>578</v>
      </c>
      <c r="L8" s="44" t="s">
        <v>655</v>
      </c>
    </row>
    <row r="9" spans="1:12" ht="33" customHeight="1">
      <c r="A9" s="55" t="s">
        <v>660</v>
      </c>
      <c r="B9" s="57">
        <f>(1*'Boiler Data'!D34)</f>
        <v>183.18</v>
      </c>
      <c r="C9" s="55" t="s">
        <v>284</v>
      </c>
      <c r="D9" s="55">
        <v>4200</v>
      </c>
      <c r="E9" s="57">
        <f>(D9*B9)</f>
        <v>769356</v>
      </c>
      <c r="F9" s="58">
        <f>(E9*'Eco indicator Points'!$B$7)</f>
        <v>700113960</v>
      </c>
      <c r="G9" s="58" t="s">
        <v>816</v>
      </c>
      <c r="H9" s="43"/>
      <c r="I9" s="43"/>
      <c r="J9" s="43"/>
      <c r="K9" s="44" t="s">
        <v>678</v>
      </c>
      <c r="L9" s="45">
        <f>(F9/1000000)</f>
        <v>700.11396</v>
      </c>
    </row>
    <row r="10" spans="1:12" ht="32.25" customHeight="1">
      <c r="A10" s="55" t="s">
        <v>1392</v>
      </c>
      <c r="B10" s="57">
        <f>(1*B9)</f>
        <v>183.18</v>
      </c>
      <c r="C10" s="55" t="s">
        <v>284</v>
      </c>
      <c r="D10" s="55">
        <f>(1*D9)</f>
        <v>4200</v>
      </c>
      <c r="E10" s="57">
        <f aca="true" t="shared" si="0" ref="E10:E18">(D10*B10)</f>
        <v>769356</v>
      </c>
      <c r="F10" s="58">
        <f>(E10*'Eco indicator Points'!B26)</f>
        <v>23080680</v>
      </c>
      <c r="G10" s="55"/>
      <c r="H10" s="43"/>
      <c r="I10" s="43"/>
      <c r="J10" s="43"/>
      <c r="K10" s="55" t="s">
        <v>860</v>
      </c>
      <c r="L10" s="45">
        <f aca="true" t="shared" si="1" ref="L10:L18">(F10/1000000)</f>
        <v>23.08068</v>
      </c>
    </row>
    <row r="11" spans="1:12" ht="41.25" customHeight="1">
      <c r="A11" s="55" t="s">
        <v>1391</v>
      </c>
      <c r="B11" s="57">
        <f>(1*B9)</f>
        <v>183.18</v>
      </c>
      <c r="C11" s="55" t="s">
        <v>284</v>
      </c>
      <c r="D11" s="55">
        <f>(1*D9)</f>
        <v>4200</v>
      </c>
      <c r="E11" s="57">
        <f t="shared" si="0"/>
        <v>769356</v>
      </c>
      <c r="F11" s="58">
        <f>(0.8*E11*'Eco indicator Points'!B24)</f>
        <v>14156150.4</v>
      </c>
      <c r="G11" s="55"/>
      <c r="H11" s="43"/>
      <c r="I11" s="43"/>
      <c r="J11" s="43"/>
      <c r="K11" s="55" t="s">
        <v>857</v>
      </c>
      <c r="L11" s="45">
        <f t="shared" si="1"/>
        <v>14.1561504</v>
      </c>
    </row>
    <row r="12" spans="1:12" ht="32.25" customHeight="1">
      <c r="A12" s="55" t="s">
        <v>1390</v>
      </c>
      <c r="B12" s="57">
        <f>(1*B9)</f>
        <v>183.18</v>
      </c>
      <c r="C12" s="55" t="s">
        <v>29</v>
      </c>
      <c r="D12" s="55">
        <v>9.6</v>
      </c>
      <c r="E12" s="57">
        <f t="shared" si="0"/>
        <v>1758.528</v>
      </c>
      <c r="F12" s="58">
        <f>(E12*'Eco indicator Points'!B21)</f>
        <v>7034112</v>
      </c>
      <c r="G12" s="55" t="s">
        <v>818</v>
      </c>
      <c r="H12" s="43"/>
      <c r="I12" s="43"/>
      <c r="J12" s="43"/>
      <c r="K12" s="55" t="s">
        <v>861</v>
      </c>
      <c r="L12" s="45">
        <f t="shared" si="1"/>
        <v>7.034112</v>
      </c>
    </row>
    <row r="13" spans="1:12" ht="33.75" customHeight="1">
      <c r="A13" s="89" t="s">
        <v>1389</v>
      </c>
      <c r="B13" s="90">
        <f>(1*B9)</f>
        <v>183.18</v>
      </c>
      <c r="C13" s="89" t="s">
        <v>160</v>
      </c>
      <c r="D13" s="89">
        <v>7.6</v>
      </c>
      <c r="E13" s="90">
        <f t="shared" si="0"/>
        <v>1392.168</v>
      </c>
      <c r="F13" s="91">
        <f>(E13*'Eco indicator Points'!B44)</f>
        <v>501180.48</v>
      </c>
      <c r="G13" s="55" t="s">
        <v>817</v>
      </c>
      <c r="H13" s="43"/>
      <c r="I13" s="43"/>
      <c r="J13" s="43"/>
      <c r="K13" s="89" t="s">
        <v>858</v>
      </c>
      <c r="L13" s="45">
        <f t="shared" si="1"/>
        <v>0.5011804799999999</v>
      </c>
    </row>
    <row r="14" spans="1:12" ht="41.25" customHeight="1">
      <c r="A14" s="92" t="s">
        <v>753</v>
      </c>
      <c r="B14" s="93">
        <f>('Boiler Data'!C34-'Boiler Data'!D34)</f>
        <v>29.819999999999993</v>
      </c>
      <c r="C14" s="92" t="s">
        <v>284</v>
      </c>
      <c r="D14" s="92">
        <v>4200</v>
      </c>
      <c r="E14" s="93">
        <f t="shared" si="0"/>
        <v>125243.99999999997</v>
      </c>
      <c r="F14" s="94">
        <f>(E14*'Eco indicator Points'!$B$7)</f>
        <v>113972039.99999997</v>
      </c>
      <c r="G14" s="94"/>
      <c r="H14" s="43"/>
      <c r="I14" s="43"/>
      <c r="J14" s="43"/>
      <c r="K14" s="60" t="s">
        <v>859</v>
      </c>
      <c r="L14" s="45">
        <f t="shared" si="1"/>
        <v>113.97203999999996</v>
      </c>
    </row>
    <row r="15" spans="1:12" ht="45" customHeight="1">
      <c r="A15" s="92" t="s">
        <v>21</v>
      </c>
      <c r="B15" s="93">
        <f>(1*B14)</f>
        <v>29.819999999999993</v>
      </c>
      <c r="C15" s="92" t="s">
        <v>284</v>
      </c>
      <c r="D15" s="92">
        <f>(1*D14)</f>
        <v>4200</v>
      </c>
      <c r="E15" s="93">
        <f t="shared" si="0"/>
        <v>125243.99999999997</v>
      </c>
      <c r="F15" s="94">
        <f>(E15*'Eco indicator Points'!B26)</f>
        <v>3757319.999999999</v>
      </c>
      <c r="G15" s="92" t="s">
        <v>162</v>
      </c>
      <c r="H15" s="43"/>
      <c r="I15" s="43"/>
      <c r="J15" s="43"/>
      <c r="K15" s="92" t="s">
        <v>860</v>
      </c>
      <c r="L15" s="45">
        <f t="shared" si="1"/>
        <v>3.757319999999999</v>
      </c>
    </row>
    <row r="16" spans="1:12" ht="25.5" customHeight="1">
      <c r="A16" s="92" t="s">
        <v>20</v>
      </c>
      <c r="B16" s="93">
        <f>(1*B14)</f>
        <v>29.819999999999993</v>
      </c>
      <c r="C16" s="92" t="s">
        <v>284</v>
      </c>
      <c r="D16" s="92">
        <f>(1*D14)</f>
        <v>4200</v>
      </c>
      <c r="E16" s="93">
        <f t="shared" si="0"/>
        <v>125243.99999999997</v>
      </c>
      <c r="F16" s="94">
        <f>(0.8*E16*'Eco indicator Points'!B24)</f>
        <v>2304489.5999999996</v>
      </c>
      <c r="G16" s="92" t="s">
        <v>162</v>
      </c>
      <c r="H16" s="43"/>
      <c r="I16" s="43"/>
      <c r="J16" s="43"/>
      <c r="K16" s="92" t="s">
        <v>862</v>
      </c>
      <c r="L16" s="45">
        <f t="shared" si="1"/>
        <v>2.3044895999999997</v>
      </c>
    </row>
    <row r="17" spans="1:12" ht="30" customHeight="1">
      <c r="A17" s="92" t="s">
        <v>19</v>
      </c>
      <c r="B17" s="93">
        <f>(1*B14)</f>
        <v>29.819999999999993</v>
      </c>
      <c r="C17" s="92" t="s">
        <v>29</v>
      </c>
      <c r="D17" s="92">
        <v>9.6</v>
      </c>
      <c r="E17" s="93">
        <f t="shared" si="0"/>
        <v>286.27199999999993</v>
      </c>
      <c r="F17" s="94">
        <f>(E17*'Eco indicator Points'!B21)</f>
        <v>1145087.9999999998</v>
      </c>
      <c r="G17" s="92" t="s">
        <v>162</v>
      </c>
      <c r="H17" s="43"/>
      <c r="I17" s="43"/>
      <c r="J17" s="43"/>
      <c r="K17" s="92" t="s">
        <v>861</v>
      </c>
      <c r="L17" s="45">
        <f t="shared" si="1"/>
        <v>1.1450879999999997</v>
      </c>
    </row>
    <row r="18" spans="1:12" ht="33.75" customHeight="1">
      <c r="A18" s="92" t="s">
        <v>18</v>
      </c>
      <c r="B18" s="93">
        <f>(1*B14)</f>
        <v>29.819999999999993</v>
      </c>
      <c r="C18" s="92" t="s">
        <v>160</v>
      </c>
      <c r="D18" s="92">
        <v>7.6</v>
      </c>
      <c r="E18" s="93">
        <f t="shared" si="0"/>
        <v>226.63199999999995</v>
      </c>
      <c r="F18" s="94">
        <f>(E18*'Eco indicator Points'!B44)</f>
        <v>81587.51999999997</v>
      </c>
      <c r="G18" s="92" t="s">
        <v>817</v>
      </c>
      <c r="H18" s="43"/>
      <c r="I18" s="43"/>
      <c r="J18" s="43"/>
      <c r="K18" s="92" t="s">
        <v>858</v>
      </c>
      <c r="L18" s="45">
        <f t="shared" si="1"/>
        <v>0.08158751999999997</v>
      </c>
    </row>
    <row r="19" spans="1:12" ht="15.75">
      <c r="A19" s="51" t="s">
        <v>159</v>
      </c>
      <c r="B19" s="45"/>
      <c r="C19" s="43"/>
      <c r="D19" s="43"/>
      <c r="E19" s="43"/>
      <c r="F19" s="95">
        <f>SUM(F9:F18)</f>
        <v>866146608</v>
      </c>
      <c r="G19" s="96" t="s">
        <v>1303</v>
      </c>
      <c r="H19" s="43"/>
      <c r="I19" s="43"/>
      <c r="J19" s="43"/>
      <c r="K19" s="43"/>
      <c r="L19" s="43"/>
    </row>
    <row r="20" spans="1:12" ht="12.75">
      <c r="A20" s="51" t="s">
        <v>161</v>
      </c>
      <c r="B20" s="45"/>
      <c r="C20" s="43"/>
      <c r="D20" s="43"/>
      <c r="E20" s="45"/>
      <c r="F20" s="52"/>
      <c r="G20" s="55"/>
      <c r="H20" s="43"/>
      <c r="I20" s="43"/>
      <c r="J20" s="43"/>
      <c r="K20" s="43"/>
      <c r="L20" s="43"/>
    </row>
    <row r="21" spans="1:12" ht="12.75">
      <c r="A21" s="51" t="s">
        <v>819</v>
      </c>
      <c r="B21" s="45"/>
      <c r="C21" s="43"/>
      <c r="D21" s="43"/>
      <c r="E21" s="45"/>
      <c r="F21" s="52"/>
      <c r="G21" s="55"/>
      <c r="H21" s="43"/>
      <c r="I21" s="43"/>
      <c r="J21" s="43"/>
      <c r="K21" s="43"/>
      <c r="L21" s="43"/>
    </row>
    <row r="22" spans="1:12" ht="38.25">
      <c r="A22" s="55" t="s">
        <v>1393</v>
      </c>
      <c r="B22" s="55">
        <v>0</v>
      </c>
      <c r="C22" s="55" t="s">
        <v>556</v>
      </c>
      <c r="D22" s="55">
        <v>0</v>
      </c>
      <c r="E22" s="57">
        <f>(D22*B22)</f>
        <v>0</v>
      </c>
      <c r="F22" s="58">
        <f>(E22*'Eco indicator Points'!$B$7)</f>
        <v>0</v>
      </c>
      <c r="G22" s="81" t="s">
        <v>536</v>
      </c>
      <c r="H22" s="43"/>
      <c r="I22" s="43"/>
      <c r="J22" s="43"/>
      <c r="K22" s="43"/>
      <c r="L22" s="43"/>
    </row>
    <row r="23" spans="1:12" ht="12.75">
      <c r="A23" s="97"/>
      <c r="B23" s="43"/>
      <c r="C23" s="43"/>
      <c r="D23" s="43"/>
      <c r="E23" s="45"/>
      <c r="F23" s="52"/>
      <c r="G23" s="81"/>
      <c r="H23" s="43"/>
      <c r="I23" s="43"/>
      <c r="J23" s="43"/>
      <c r="K23" s="43"/>
      <c r="L23" s="43"/>
    </row>
    <row r="24" spans="1:12" ht="25.5">
      <c r="A24" s="44" t="s">
        <v>1394</v>
      </c>
      <c r="B24" s="44" t="s">
        <v>57</v>
      </c>
      <c r="C24" s="44" t="s">
        <v>1398</v>
      </c>
      <c r="D24" s="44" t="s">
        <v>1399</v>
      </c>
      <c r="E24" s="80" t="s">
        <v>1402</v>
      </c>
      <c r="F24" s="98" t="s">
        <v>1403</v>
      </c>
      <c r="G24" s="44" t="s">
        <v>52</v>
      </c>
      <c r="H24" s="44" t="s">
        <v>52</v>
      </c>
      <c r="I24" s="43"/>
      <c r="J24" s="43"/>
      <c r="K24" s="43"/>
      <c r="L24" s="43"/>
    </row>
    <row r="25" spans="1:12" ht="49.5" customHeight="1">
      <c r="A25" s="76" t="s">
        <v>236</v>
      </c>
      <c r="B25" s="99">
        <f>(B9+B14)</f>
        <v>213</v>
      </c>
      <c r="C25" s="76">
        <f>(1*Packages!J21)*5750/4400</f>
        <v>7187.5</v>
      </c>
      <c r="D25" s="76">
        <f>(1*Packages!K4)</f>
        <v>25000</v>
      </c>
      <c r="E25" s="100">
        <f>(C25*B25)</f>
        <v>1530937.5</v>
      </c>
      <c r="F25" s="100">
        <f>(D25*B25)</f>
        <v>5325000</v>
      </c>
      <c r="G25" s="81" t="s">
        <v>1400</v>
      </c>
      <c r="H25" s="55" t="s">
        <v>1401</v>
      </c>
      <c r="I25" s="43"/>
      <c r="J25" s="43"/>
      <c r="K25" s="43"/>
      <c r="L25" s="43"/>
    </row>
    <row r="26" spans="1:12" ht="12.75">
      <c r="A26" s="76"/>
      <c r="B26" s="76"/>
      <c r="C26" s="76"/>
      <c r="D26" s="76"/>
      <c r="E26" s="99"/>
      <c r="F26" s="100"/>
      <c r="G26" s="76"/>
      <c r="H26" s="43"/>
      <c r="I26" s="43"/>
      <c r="J26" s="43"/>
      <c r="K26" s="43"/>
      <c r="L26" s="43"/>
    </row>
    <row r="27" spans="1:12" ht="20.25">
      <c r="A27" s="101" t="s">
        <v>479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2" ht="12.75">
      <c r="A28" s="76" t="s">
        <v>1410</v>
      </c>
      <c r="B28" s="102">
        <v>1.609344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1:12" ht="51">
      <c r="A29" s="44" t="s">
        <v>573</v>
      </c>
      <c r="B29" s="44" t="s">
        <v>57</v>
      </c>
      <c r="C29" s="44" t="s">
        <v>1408</v>
      </c>
      <c r="D29" s="44" t="s">
        <v>1409</v>
      </c>
      <c r="E29" s="44" t="s">
        <v>1411</v>
      </c>
      <c r="F29" s="44" t="s">
        <v>1412</v>
      </c>
      <c r="G29" s="44" t="s">
        <v>820</v>
      </c>
      <c r="H29" s="44" t="s">
        <v>1417</v>
      </c>
      <c r="I29" s="44" t="s">
        <v>1418</v>
      </c>
      <c r="J29" s="44" t="s">
        <v>52</v>
      </c>
      <c r="K29" s="44" t="s">
        <v>769</v>
      </c>
      <c r="L29" s="44" t="s">
        <v>754</v>
      </c>
    </row>
    <row r="30" spans="1:12" ht="40.5" customHeight="1">
      <c r="A30" s="81" t="s">
        <v>574</v>
      </c>
      <c r="B30" s="57">
        <f>+(1*B25)</f>
        <v>213</v>
      </c>
      <c r="C30" s="57">
        <v>260</v>
      </c>
      <c r="D30" s="57">
        <f>(C30*$B$28)</f>
        <v>418.42944</v>
      </c>
      <c r="E30" s="57">
        <f>(B30*D9)/1000</f>
        <v>894.6</v>
      </c>
      <c r="F30" s="58">
        <f>(E30*D30)/6</f>
        <v>62387.829504</v>
      </c>
      <c r="G30" s="58">
        <f>(F30*'Eco indicator Points'!$B$70)</f>
        <v>1372532.249088</v>
      </c>
      <c r="H30" s="55">
        <v>2</v>
      </c>
      <c r="I30" s="58">
        <f>(H30*D30*B30)/6</f>
        <v>29708.49024</v>
      </c>
      <c r="J30" s="55" t="s">
        <v>1413</v>
      </c>
      <c r="K30" s="81" t="s">
        <v>755</v>
      </c>
      <c r="L30" s="103">
        <f>(G30/1000000)</f>
        <v>1.372532249088</v>
      </c>
    </row>
    <row r="31" spans="1:12" ht="42.75" customHeight="1">
      <c r="A31" s="81" t="s">
        <v>575</v>
      </c>
      <c r="B31" s="57">
        <f>(1*B25)</f>
        <v>213</v>
      </c>
      <c r="C31" s="57">
        <v>260</v>
      </c>
      <c r="D31" s="57">
        <f>(C31*$B$28)</f>
        <v>418.42944</v>
      </c>
      <c r="E31" s="57">
        <f>((C47+C48+C49+C50)/1000)+E30</f>
        <v>6445.112</v>
      </c>
      <c r="F31" s="58">
        <f>(E31*D31)</f>
        <v>2696824.60489728</v>
      </c>
      <c r="G31" s="58">
        <f>(F31*'Eco indicator Points'!$B$71)</f>
        <v>40452369.0734592</v>
      </c>
      <c r="H31" s="55">
        <v>2</v>
      </c>
      <c r="I31" s="58">
        <f>(H31*D31*B31)</f>
        <v>178250.94144</v>
      </c>
      <c r="J31" s="55" t="s">
        <v>1414</v>
      </c>
      <c r="K31" s="81" t="s">
        <v>756</v>
      </c>
      <c r="L31" s="103">
        <f>(G31/1000000)</f>
        <v>40.4523690734592</v>
      </c>
    </row>
    <row r="32" spans="1:12" ht="53.25" customHeight="1">
      <c r="A32" s="44" t="s">
        <v>579</v>
      </c>
      <c r="B32" s="104" t="s">
        <v>694</v>
      </c>
      <c r="C32" s="80" t="s">
        <v>693</v>
      </c>
      <c r="D32" s="80" t="s">
        <v>569</v>
      </c>
      <c r="E32" s="80" t="s">
        <v>820</v>
      </c>
      <c r="F32" s="98" t="s">
        <v>126</v>
      </c>
      <c r="G32" s="43"/>
      <c r="H32" s="55"/>
      <c r="I32" s="58"/>
      <c r="J32" s="44"/>
      <c r="K32" s="43"/>
      <c r="L32" s="43"/>
    </row>
    <row r="33" spans="1:12" ht="25.5">
      <c r="A33" s="81" t="s">
        <v>1415</v>
      </c>
      <c r="B33" s="66" t="s">
        <v>570</v>
      </c>
      <c r="C33" s="55"/>
      <c r="D33" s="55"/>
      <c r="E33" s="55"/>
      <c r="F33" s="66" t="s">
        <v>583</v>
      </c>
      <c r="G33" s="55"/>
      <c r="H33" s="55"/>
      <c r="I33" s="55"/>
      <c r="J33" s="55"/>
      <c r="K33" s="43"/>
      <c r="L33" s="43"/>
    </row>
    <row r="34" spans="1:12" ht="12.75">
      <c r="A34" s="81" t="s">
        <v>582</v>
      </c>
      <c r="B34" s="66" t="s">
        <v>570</v>
      </c>
      <c r="C34" s="55"/>
      <c r="D34" s="55"/>
      <c r="E34" s="55"/>
      <c r="F34" s="66" t="s">
        <v>61</v>
      </c>
      <c r="G34" s="55"/>
      <c r="H34" s="55"/>
      <c r="I34" s="55"/>
      <c r="J34" s="55"/>
      <c r="K34" s="43"/>
      <c r="L34" s="43"/>
    </row>
    <row r="35" spans="1:12" ht="12.75">
      <c r="A35" s="92" t="s">
        <v>1416</v>
      </c>
      <c r="B35" s="105" t="s">
        <v>570</v>
      </c>
      <c r="C35" s="92"/>
      <c r="D35" s="92"/>
      <c r="E35" s="92"/>
      <c r="F35" s="105" t="s">
        <v>61</v>
      </c>
      <c r="G35" s="55"/>
      <c r="H35" s="55"/>
      <c r="I35" s="55"/>
      <c r="J35" s="55"/>
      <c r="K35" s="43"/>
      <c r="L35" s="43"/>
    </row>
    <row r="36" spans="1:12" ht="12.75">
      <c r="A36" s="92" t="s">
        <v>581</v>
      </c>
      <c r="B36" s="105" t="s">
        <v>570</v>
      </c>
      <c r="C36" s="92"/>
      <c r="D36" s="92"/>
      <c r="E36" s="92"/>
      <c r="F36" s="105" t="s">
        <v>61</v>
      </c>
      <c r="G36" s="92"/>
      <c r="H36" s="55"/>
      <c r="I36" s="55"/>
      <c r="J36" s="55"/>
      <c r="K36" s="43"/>
      <c r="L36" s="43"/>
    </row>
    <row r="37" spans="1:12" ht="12.75">
      <c r="A37" s="81" t="s">
        <v>571</v>
      </c>
      <c r="B37" s="66" t="s">
        <v>570</v>
      </c>
      <c r="C37" s="55"/>
      <c r="D37" s="55"/>
      <c r="E37" s="55"/>
      <c r="F37" s="66" t="s">
        <v>61</v>
      </c>
      <c r="G37" s="55"/>
      <c r="H37" s="55"/>
      <c r="I37" s="55"/>
      <c r="J37" s="55"/>
      <c r="K37" s="43"/>
      <c r="L37" s="43"/>
    </row>
    <row r="38" spans="1:12" ht="12.75">
      <c r="A38" s="92" t="s">
        <v>572</v>
      </c>
      <c r="B38" s="105" t="s">
        <v>570</v>
      </c>
      <c r="C38" s="92"/>
      <c r="D38" s="92"/>
      <c r="E38" s="92"/>
      <c r="F38" s="105" t="s">
        <v>61</v>
      </c>
      <c r="G38" s="55"/>
      <c r="H38" s="55"/>
      <c r="I38" s="55"/>
      <c r="J38" s="55"/>
      <c r="K38" s="43"/>
      <c r="L38" s="43"/>
    </row>
    <row r="39" spans="1:12" ht="22.5">
      <c r="A39" s="106" t="s">
        <v>532</v>
      </c>
      <c r="B39" s="43"/>
      <c r="C39" s="43"/>
      <c r="D39" s="43"/>
      <c r="E39" s="43"/>
      <c r="F39" s="43"/>
      <c r="G39" s="107"/>
      <c r="H39" s="43"/>
      <c r="I39" s="43"/>
      <c r="J39" s="55"/>
      <c r="K39" s="43"/>
      <c r="L39" s="43"/>
    </row>
    <row r="40" spans="1:12" ht="12.75">
      <c r="A40" s="108" t="s">
        <v>530</v>
      </c>
      <c r="B40" s="43"/>
      <c r="C40" s="43"/>
      <c r="D40" s="43"/>
      <c r="E40" s="43"/>
      <c r="F40" s="43"/>
      <c r="G40" s="43"/>
      <c r="H40" s="43"/>
      <c r="I40" s="43"/>
      <c r="J40" s="55"/>
      <c r="K40" s="43"/>
      <c r="L40" s="43"/>
    </row>
    <row r="41" spans="1:12" ht="15.75">
      <c r="A41" s="108" t="s">
        <v>531</v>
      </c>
      <c r="B41" s="43"/>
      <c r="C41" s="43"/>
      <c r="D41" s="43"/>
      <c r="E41" s="43"/>
      <c r="F41" s="109" t="s">
        <v>1302</v>
      </c>
      <c r="G41" s="95">
        <f>SUM(G30:G38)</f>
        <v>41824901.3225472</v>
      </c>
      <c r="H41" s="43"/>
      <c r="I41" s="43"/>
      <c r="J41" s="55"/>
      <c r="K41" s="43"/>
      <c r="L41" s="43"/>
    </row>
    <row r="42" spans="1:12" ht="12.75">
      <c r="A42" s="76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12" ht="20.25">
      <c r="A43" s="101" t="s">
        <v>478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1:12" ht="12.75">
      <c r="A44" s="76" t="s">
        <v>27</v>
      </c>
      <c r="B44" s="43">
        <f>(1*'All Wastes'!B75)</f>
        <v>1240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12" ht="18">
      <c r="A45" s="65" t="s">
        <v>477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1:12" ht="66" customHeight="1">
      <c r="A46" s="44"/>
      <c r="B46" s="44" t="s">
        <v>25</v>
      </c>
      <c r="C46" s="44" t="s">
        <v>109</v>
      </c>
      <c r="D46" s="44" t="s">
        <v>821</v>
      </c>
      <c r="E46" s="44" t="s">
        <v>720</v>
      </c>
      <c r="F46" s="44" t="s">
        <v>52</v>
      </c>
      <c r="G46" s="66" t="s">
        <v>535</v>
      </c>
      <c r="H46" s="43"/>
      <c r="I46" s="43"/>
      <c r="J46" s="43"/>
      <c r="K46" s="44" t="s">
        <v>761</v>
      </c>
      <c r="L46" s="44" t="s">
        <v>762</v>
      </c>
    </row>
    <row r="47" spans="1:12" ht="12.75">
      <c r="A47" s="55" t="s">
        <v>682</v>
      </c>
      <c r="B47" s="57">
        <f>(1*'Boiler Data'!J4)</f>
        <v>4163.672799999999</v>
      </c>
      <c r="C47" s="57">
        <f>(B47*1000)</f>
        <v>4163672.7999999993</v>
      </c>
      <c r="D47" s="58">
        <f>(C47*'Eco indicator Points'!$B$6)</f>
        <v>358075860.79999995</v>
      </c>
      <c r="E47" s="58">
        <f>(C47*'Eco indicator Points'!$B$8)</f>
        <v>458004007.99999994</v>
      </c>
      <c r="F47" s="55"/>
      <c r="G47" s="43"/>
      <c r="H47" s="43"/>
      <c r="I47" s="43"/>
      <c r="J47" s="43"/>
      <c r="K47" s="44" t="s">
        <v>26</v>
      </c>
      <c r="L47" s="45">
        <f>(D47/1000000)</f>
        <v>358.07586079999993</v>
      </c>
    </row>
    <row r="48" spans="1:12" ht="25.5">
      <c r="A48" s="110" t="s">
        <v>17</v>
      </c>
      <c r="B48" s="110"/>
      <c r="C48" s="111">
        <f>($B$44*('Boiler Data'!G34-'Boiler Data'!F4))</f>
        <v>609767.52</v>
      </c>
      <c r="D48" s="112">
        <f>(C48*'Eco indicator Points'!$B$58)</f>
        <v>12195350.4</v>
      </c>
      <c r="E48" s="113"/>
      <c r="F48" s="110" t="s">
        <v>533</v>
      </c>
      <c r="G48" s="43"/>
      <c r="H48" s="43"/>
      <c r="I48" s="43"/>
      <c r="J48" s="43"/>
      <c r="K48" s="110" t="s">
        <v>863</v>
      </c>
      <c r="L48" s="45">
        <f>(D48/1000000)</f>
        <v>12.1953504</v>
      </c>
    </row>
    <row r="49" spans="1:12" ht="12.75">
      <c r="A49" s="114" t="s">
        <v>683</v>
      </c>
      <c r="B49" s="93">
        <f>(1*'Boiler Data'!K4)</f>
        <v>677.8072</v>
      </c>
      <c r="C49" s="93">
        <f>(B49*1000)</f>
        <v>677807.2</v>
      </c>
      <c r="D49" s="94">
        <f>(C49*'Eco indicator Points'!$B$6)</f>
        <v>58291419.199999996</v>
      </c>
      <c r="E49" s="94">
        <f>(C49*'Eco indicator Points'!$B$8)</f>
        <v>74558792</v>
      </c>
      <c r="F49" s="55"/>
      <c r="G49" s="43"/>
      <c r="H49" s="43"/>
      <c r="I49" s="43"/>
      <c r="J49" s="43"/>
      <c r="K49" s="115" t="s">
        <v>763</v>
      </c>
      <c r="L49" s="45">
        <f>(D49/1000000)</f>
        <v>58.29141919999999</v>
      </c>
    </row>
    <row r="50" spans="1:12" ht="31.5">
      <c r="A50" s="116" t="s">
        <v>16</v>
      </c>
      <c r="B50" s="116"/>
      <c r="C50" s="117">
        <f>($B$44*('Boiler Data'!G48-'Boiler Data'!H4))</f>
        <v>99264.48000000003</v>
      </c>
      <c r="D50" s="118">
        <f>(C50*'Eco indicator Points'!$B$58)</f>
        <v>1985289.6000000006</v>
      </c>
      <c r="E50" s="118"/>
      <c r="F50" s="116" t="s">
        <v>533</v>
      </c>
      <c r="G50" s="96" t="s">
        <v>1304</v>
      </c>
      <c r="H50" s="95">
        <f>(D50+E49+D48+E47)</f>
        <v>546743440</v>
      </c>
      <c r="I50" s="43"/>
      <c r="J50" s="43"/>
      <c r="K50" s="116" t="s">
        <v>863</v>
      </c>
      <c r="L50" s="45">
        <f>(D50/1000000)</f>
        <v>1.9852896000000007</v>
      </c>
    </row>
    <row r="51" spans="1:12" ht="12.75">
      <c r="A51" s="55" t="s">
        <v>684</v>
      </c>
      <c r="B51" s="57">
        <f>(1*'Boiler Data'!J28)</f>
        <v>760</v>
      </c>
      <c r="C51" s="57">
        <f>(B51*1000)</f>
        <v>760000</v>
      </c>
      <c r="D51" s="58">
        <f>(C51*'Eco indicator Points'!$B$6)</f>
        <v>65360000</v>
      </c>
      <c r="E51" s="58">
        <f>(C51*'Eco indicator Points'!$B$8)</f>
        <v>83600000</v>
      </c>
      <c r="F51" s="55" t="s">
        <v>534</v>
      </c>
      <c r="G51" s="43"/>
      <c r="H51" s="43"/>
      <c r="I51" s="43"/>
      <c r="J51" s="43"/>
      <c r="K51" s="44" t="s">
        <v>764</v>
      </c>
      <c r="L51" s="45">
        <f>(D51/1000000)</f>
        <v>65.36</v>
      </c>
    </row>
    <row r="52" spans="1:12" ht="18">
      <c r="A52" s="65" t="s">
        <v>476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.75">
      <c r="A53" s="119" t="s">
        <v>685</v>
      </c>
      <c r="B53" s="120">
        <v>5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.75">
      <c r="A54" s="120" t="s">
        <v>686</v>
      </c>
      <c r="B54" s="120">
        <v>0.95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.75">
      <c r="A55" s="121" t="s">
        <v>687</v>
      </c>
      <c r="B55" s="121">
        <f>(1-B54)</f>
        <v>0.050000000000000044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 ht="12.75">
      <c r="A56" s="43" t="s">
        <v>688</v>
      </c>
      <c r="B56" s="43">
        <f>('Boiler Data'!L4-'Boiler Disposal&amp;Recycling'!B53)</f>
        <v>10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1:12" ht="12.75">
      <c r="A57" s="43" t="s">
        <v>691</v>
      </c>
      <c r="B57" s="45">
        <f>(B9*B56/'Boiler Data'!L4)</f>
        <v>122.12000000000002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1:12" ht="12.75">
      <c r="A58" s="122" t="s">
        <v>679</v>
      </c>
      <c r="B58" s="123">
        <f>(B9*(B53/'Boiler Data'!L4))*(0-1)</f>
        <v>-61.06</v>
      </c>
      <c r="C58" s="122"/>
      <c r="D58" s="122"/>
      <c r="E58" s="122"/>
      <c r="F58" s="122"/>
      <c r="G58" s="43"/>
      <c r="H58" s="43"/>
      <c r="I58" s="43"/>
      <c r="J58" s="43"/>
      <c r="K58" s="43"/>
      <c r="L58" s="43"/>
    </row>
    <row r="59" spans="1:12" ht="25.5">
      <c r="A59" s="124" t="s">
        <v>587</v>
      </c>
      <c r="B59" s="125">
        <f>(B63/B47)*B9</f>
        <v>3.0530000000000026</v>
      </c>
      <c r="C59" s="124"/>
      <c r="D59" s="124"/>
      <c r="E59" s="124"/>
      <c r="F59" s="124"/>
      <c r="G59" s="84" t="s">
        <v>1092</v>
      </c>
      <c r="H59" s="43"/>
      <c r="I59" s="43"/>
      <c r="J59" s="43"/>
      <c r="K59" s="43"/>
      <c r="L59" s="43"/>
    </row>
    <row r="60" spans="1:12" ht="52.5" customHeight="1">
      <c r="A60" s="44" t="s">
        <v>580</v>
      </c>
      <c r="B60" s="44" t="s">
        <v>584</v>
      </c>
      <c r="C60" s="44" t="s">
        <v>585</v>
      </c>
      <c r="D60" s="44" t="s">
        <v>821</v>
      </c>
      <c r="E60" s="44" t="s">
        <v>720</v>
      </c>
      <c r="F60" s="44" t="s">
        <v>52</v>
      </c>
      <c r="G60" s="43"/>
      <c r="H60" s="43"/>
      <c r="I60" s="43"/>
      <c r="J60" s="43"/>
      <c r="K60" s="44" t="s">
        <v>580</v>
      </c>
      <c r="L60" s="44" t="s">
        <v>864</v>
      </c>
    </row>
    <row r="61" spans="1:12" ht="12.75">
      <c r="A61" s="43" t="s">
        <v>825</v>
      </c>
      <c r="B61" s="45">
        <f>(('Boiler Disposal&amp;Recycling'!B56/'Boiler Data'!L4)*B47)</f>
        <v>2775.7818666666662</v>
      </c>
      <c r="C61" s="57">
        <f>(B61*1000)</f>
        <v>2775781.866666666</v>
      </c>
      <c r="D61" s="58">
        <f>(C61*'Eco indicator Points'!$B$6)</f>
        <v>238717240.5333333</v>
      </c>
      <c r="E61" s="58">
        <f>(C61*'Eco indicator Points'!$B$8)</f>
        <v>305336005.3333333</v>
      </c>
      <c r="F61" s="43" t="s">
        <v>357</v>
      </c>
      <c r="G61" s="43"/>
      <c r="H61" s="43"/>
      <c r="I61" s="43"/>
      <c r="J61" s="43"/>
      <c r="K61" s="55" t="s">
        <v>865</v>
      </c>
      <c r="L61" s="45">
        <f>(D61/1000000)</f>
        <v>238.7172405333333</v>
      </c>
    </row>
    <row r="62" spans="1:12" ht="12.75">
      <c r="A62" s="110" t="s">
        <v>826</v>
      </c>
      <c r="B62" s="43"/>
      <c r="C62" s="126">
        <f>(C48*(B56/'Boiler Data'!L4))</f>
        <v>406511.68</v>
      </c>
      <c r="D62" s="112">
        <f>(C62*'Eco indicator Points'!$B$58)</f>
        <v>8130233.6</v>
      </c>
      <c r="E62" s="43"/>
      <c r="F62" s="127" t="s">
        <v>586</v>
      </c>
      <c r="G62" s="43"/>
      <c r="H62" s="43"/>
      <c r="I62" s="43"/>
      <c r="J62" s="43"/>
      <c r="K62" s="110" t="s">
        <v>866</v>
      </c>
      <c r="L62" s="45">
        <f>(D62/1000000)</f>
        <v>8.1302336</v>
      </c>
    </row>
    <row r="63" spans="1:12" ht="25.5">
      <c r="A63" s="124" t="s">
        <v>827</v>
      </c>
      <c r="B63" s="57">
        <f>(B53*'Boiler Data'!N4)*B55</f>
        <v>69.39454666666671</v>
      </c>
      <c r="C63" s="128">
        <f>(B63*1000)</f>
        <v>69394.54666666672</v>
      </c>
      <c r="D63" s="58">
        <f>(C63*'Eco indicator Points'!$B$6)</f>
        <v>5967931.013333338</v>
      </c>
      <c r="E63" s="58">
        <f>(C63*'Eco indicator Points'!$B$8)</f>
        <v>7633400.133333339</v>
      </c>
      <c r="F63" s="55" t="s">
        <v>357</v>
      </c>
      <c r="G63" s="84" t="s">
        <v>1092</v>
      </c>
      <c r="H63" s="43"/>
      <c r="I63" s="43"/>
      <c r="J63" s="43"/>
      <c r="K63" s="124" t="s">
        <v>765</v>
      </c>
      <c r="L63" s="45">
        <f>(D63/1000000)</f>
        <v>5.967931013333338</v>
      </c>
    </row>
    <row r="64" spans="1:12" ht="25.5" customHeight="1">
      <c r="A64" s="110" t="s">
        <v>828</v>
      </c>
      <c r="B64" s="57"/>
      <c r="C64" s="129">
        <f>(B63/B61)*C62</f>
        <v>10162.792000000009</v>
      </c>
      <c r="D64" s="112">
        <f>(C64*'Eco indicator Points'!$B$58)</f>
        <v>203255.84000000017</v>
      </c>
      <c r="E64" s="58"/>
      <c r="F64" s="130" t="s">
        <v>653</v>
      </c>
      <c r="G64" s="43"/>
      <c r="H64" s="43"/>
      <c r="I64" s="43"/>
      <c r="J64" s="43"/>
      <c r="K64" s="110" t="s">
        <v>766</v>
      </c>
      <c r="L64" s="45">
        <f>(D64/1000000)</f>
        <v>0.20325584000000016</v>
      </c>
    </row>
    <row r="65" spans="1:12" ht="51">
      <c r="A65" s="44" t="s">
        <v>746</v>
      </c>
      <c r="B65" s="44" t="s">
        <v>584</v>
      </c>
      <c r="C65" s="44" t="s">
        <v>585</v>
      </c>
      <c r="D65" s="44" t="s">
        <v>721</v>
      </c>
      <c r="E65" s="44" t="s">
        <v>821</v>
      </c>
      <c r="F65" s="44" t="s">
        <v>52</v>
      </c>
      <c r="G65" s="43"/>
      <c r="H65" s="43"/>
      <c r="I65" s="43"/>
      <c r="J65" s="43"/>
      <c r="K65" s="55" t="s">
        <v>768</v>
      </c>
      <c r="L65" s="57">
        <f>(E66/1000000)</f>
        <v>-113.39068925333332</v>
      </c>
    </row>
    <row r="66" spans="1:12" ht="25.5">
      <c r="A66" s="122" t="s">
        <v>829</v>
      </c>
      <c r="B66" s="123">
        <f>(B47-B61)*B54</f>
        <v>1318.4963866666665</v>
      </c>
      <c r="C66" s="123">
        <f>(B66*1000)</f>
        <v>1318496.3866666665</v>
      </c>
      <c r="D66" s="131">
        <f>(C66*'Eco indicator Points'!B78)</f>
        <v>-92294747.06666665</v>
      </c>
      <c r="E66" s="131">
        <f>(C66*'Eco indicator Points'!B6)*(0-1)</f>
        <v>-113390689.25333332</v>
      </c>
      <c r="F66" s="122" t="s">
        <v>767</v>
      </c>
      <c r="G66" s="43"/>
      <c r="H66" s="43"/>
      <c r="I66" s="43"/>
      <c r="J66" s="43"/>
      <c r="K66" s="122" t="s">
        <v>779</v>
      </c>
      <c r="L66" s="45">
        <f>(D85/1000000)</f>
        <v>-221.702754</v>
      </c>
    </row>
    <row r="67" spans="1:12" ht="25.5">
      <c r="A67" s="124" t="s">
        <v>732</v>
      </c>
      <c r="B67" s="123"/>
      <c r="C67" s="123"/>
      <c r="D67" s="131"/>
      <c r="E67" s="131"/>
      <c r="F67" s="70"/>
      <c r="G67" s="43"/>
      <c r="H67" s="43"/>
      <c r="I67" s="43"/>
      <c r="J67" s="43"/>
      <c r="K67" s="122" t="s">
        <v>780</v>
      </c>
      <c r="L67" s="45">
        <f>(D86/1000000)</f>
        <v>-7.308882</v>
      </c>
    </row>
    <row r="68" spans="1:12" ht="25.5">
      <c r="A68" s="124" t="s">
        <v>830</v>
      </c>
      <c r="B68" s="123"/>
      <c r="C68" s="123"/>
      <c r="D68" s="131"/>
      <c r="E68" s="131"/>
      <c r="F68" s="70"/>
      <c r="G68" s="43"/>
      <c r="H68" s="43"/>
      <c r="I68" s="43"/>
      <c r="J68" s="43"/>
      <c r="K68" s="122" t="s">
        <v>781</v>
      </c>
      <c r="L68" s="45">
        <f>(D87/1000000)</f>
        <v>-5.6034762</v>
      </c>
    </row>
    <row r="69" spans="1:12" ht="12.75">
      <c r="A69" s="124" t="s">
        <v>831</v>
      </c>
      <c r="B69" s="123"/>
      <c r="C69" s="123"/>
      <c r="D69" s="131"/>
      <c r="E69" s="131"/>
      <c r="F69" s="70"/>
      <c r="G69" s="43"/>
      <c r="H69" s="43"/>
      <c r="I69" s="43"/>
      <c r="J69" s="43"/>
      <c r="K69" s="122" t="s">
        <v>782</v>
      </c>
      <c r="L69" s="45">
        <f>(D88/1000000)</f>
        <v>-2.2274688000000005</v>
      </c>
    </row>
    <row r="70" spans="1:12" ht="12.75">
      <c r="A70" s="124" t="s">
        <v>832</v>
      </c>
      <c r="B70" s="123"/>
      <c r="C70" s="123"/>
      <c r="D70" s="131"/>
      <c r="E70" s="131"/>
      <c r="F70" s="70"/>
      <c r="G70" s="43"/>
      <c r="H70" s="43"/>
      <c r="I70" s="43"/>
      <c r="J70" s="43"/>
      <c r="K70" s="122" t="s">
        <v>783</v>
      </c>
      <c r="L70" s="45">
        <f>(D89/1000000)</f>
        <v>-0.15870715199999996</v>
      </c>
    </row>
    <row r="71" spans="1:12" ht="12.75">
      <c r="A71" s="124" t="s">
        <v>833</v>
      </c>
      <c r="B71" s="123"/>
      <c r="C71" s="123"/>
      <c r="D71" s="131"/>
      <c r="E71" s="131"/>
      <c r="F71" s="70"/>
      <c r="G71" s="43"/>
      <c r="H71" s="43"/>
      <c r="I71" s="43"/>
      <c r="J71" s="43"/>
      <c r="K71" s="43"/>
      <c r="L71" s="43"/>
    </row>
    <row r="72" spans="1:12" ht="12.75">
      <c r="A72" s="124" t="s">
        <v>834</v>
      </c>
      <c r="B72" s="123"/>
      <c r="C72" s="123"/>
      <c r="D72" s="131"/>
      <c r="E72" s="131"/>
      <c r="F72" s="70"/>
      <c r="G72" s="43"/>
      <c r="H72" s="43"/>
      <c r="I72" s="43"/>
      <c r="J72" s="43"/>
      <c r="K72" s="43"/>
      <c r="L72" s="43"/>
    </row>
    <row r="73" spans="1:12" ht="12.75">
      <c r="A73" s="124"/>
      <c r="B73" s="123"/>
      <c r="C73" s="123"/>
      <c r="D73" s="131"/>
      <c r="E73" s="131"/>
      <c r="F73" s="70"/>
      <c r="G73" s="43"/>
      <c r="H73" s="43"/>
      <c r="I73" s="43"/>
      <c r="J73" s="43"/>
      <c r="K73" s="43"/>
      <c r="L73" s="43"/>
    </row>
    <row r="74" spans="1:12" ht="51">
      <c r="A74" s="44" t="s">
        <v>629</v>
      </c>
      <c r="B74" s="44" t="s">
        <v>57</v>
      </c>
      <c r="C74" s="44" t="s">
        <v>1408</v>
      </c>
      <c r="D74" s="44" t="s">
        <v>1409</v>
      </c>
      <c r="E74" s="44" t="s">
        <v>1411</v>
      </c>
      <c r="F74" s="44" t="s">
        <v>1412</v>
      </c>
      <c r="G74" s="44" t="s">
        <v>820</v>
      </c>
      <c r="H74" s="44" t="s">
        <v>1417</v>
      </c>
      <c r="I74" s="44" t="s">
        <v>1418</v>
      </c>
      <c r="J74" s="44" t="s">
        <v>52</v>
      </c>
      <c r="K74" s="44" t="s">
        <v>629</v>
      </c>
      <c r="L74" s="44" t="s">
        <v>770</v>
      </c>
    </row>
    <row r="75" spans="1:12" ht="38.25">
      <c r="A75" s="124" t="s">
        <v>836</v>
      </c>
      <c r="B75" s="125">
        <f>(1*$B$53)</f>
        <v>5</v>
      </c>
      <c r="C75" s="132">
        <v>4.2</v>
      </c>
      <c r="D75" s="132">
        <f>(C75*$B$28)</f>
        <v>6.759244800000001</v>
      </c>
      <c r="E75" s="125">
        <f>($B$75*'Boiler Data'!$N$4)</f>
        <v>1387.8909333333331</v>
      </c>
      <c r="F75" s="125">
        <f>(E75*D75)</f>
        <v>9381.09457410048</v>
      </c>
      <c r="G75" s="58">
        <f>(F75*'Eco indicator Points'!B71)</f>
        <v>140716.4186115072</v>
      </c>
      <c r="H75" s="66">
        <v>200</v>
      </c>
      <c r="I75" s="78">
        <f>(H75*D75*B75)</f>
        <v>6759.244800000001</v>
      </c>
      <c r="J75" s="66" t="s">
        <v>628</v>
      </c>
      <c r="K75" s="124" t="s">
        <v>771</v>
      </c>
      <c r="L75" s="46">
        <f>(G75/1000000)</f>
        <v>0.1407164186115072</v>
      </c>
    </row>
    <row r="76" spans="1:12" ht="25.5">
      <c r="A76" s="124" t="s">
        <v>837</v>
      </c>
      <c r="B76" s="125">
        <f>(1*$B$59)</f>
        <v>3.0530000000000026</v>
      </c>
      <c r="C76" s="132">
        <v>63.5</v>
      </c>
      <c r="D76" s="132">
        <f>(C76*$B$28)</f>
        <v>102.19334400000001</v>
      </c>
      <c r="E76" s="125">
        <f>($B$63/3)*B76</f>
        <v>70.62051699111122</v>
      </c>
      <c r="F76" s="125">
        <f>(E76*D76)</f>
        <v>7216.946786330474</v>
      </c>
      <c r="G76" s="58">
        <f>(F76*'Eco indicator Points'!B71)</f>
        <v>108254.20179495712</v>
      </c>
      <c r="H76" s="55">
        <v>2</v>
      </c>
      <c r="I76" s="57">
        <f>(H76*D76*B76)</f>
        <v>623.9925584640006</v>
      </c>
      <c r="J76" s="55" t="s">
        <v>627</v>
      </c>
      <c r="K76" s="124" t="s">
        <v>773</v>
      </c>
      <c r="L76" s="46">
        <f>(G76/1000000)</f>
        <v>0.10825420179495712</v>
      </c>
    </row>
    <row r="77" spans="1:12" ht="25.5">
      <c r="A77" s="124" t="s">
        <v>838</v>
      </c>
      <c r="B77" s="125">
        <f>(1*$B$59)</f>
        <v>3.0530000000000026</v>
      </c>
      <c r="C77" s="132">
        <v>207.7</v>
      </c>
      <c r="D77" s="132">
        <f>(C77*$B$28)</f>
        <v>334.2607488</v>
      </c>
      <c r="E77" s="125">
        <f>($B$63/3)*B77</f>
        <v>70.62051699111122</v>
      </c>
      <c r="F77" s="125">
        <f>(E77*D77)</f>
        <v>23605.666890091958</v>
      </c>
      <c r="G77" s="58">
        <f>(F77*'Eco indicator Points'!B71)</f>
        <v>354085.00335137936</v>
      </c>
      <c r="H77" s="55">
        <v>2</v>
      </c>
      <c r="I77" s="57">
        <f>(H77*D77*B77)</f>
        <v>2040.9961321728017</v>
      </c>
      <c r="J77" s="55" t="s">
        <v>627</v>
      </c>
      <c r="K77" s="124" t="s">
        <v>772</v>
      </c>
      <c r="L77" s="46">
        <f>(G77/1000000)</f>
        <v>0.3540850033513794</v>
      </c>
    </row>
    <row r="78" spans="1:12" ht="38.25">
      <c r="A78" s="44" t="s">
        <v>631</v>
      </c>
      <c r="B78" s="44" t="s">
        <v>57</v>
      </c>
      <c r="C78" s="44" t="s">
        <v>1408</v>
      </c>
      <c r="D78" s="44" t="s">
        <v>1409</v>
      </c>
      <c r="E78" s="44" t="s">
        <v>1411</v>
      </c>
      <c r="F78" s="44" t="s">
        <v>1412</v>
      </c>
      <c r="G78" s="44" t="s">
        <v>820</v>
      </c>
      <c r="H78" s="44" t="s">
        <v>630</v>
      </c>
      <c r="I78" s="44" t="s">
        <v>1418</v>
      </c>
      <c r="J78" s="44" t="s">
        <v>52</v>
      </c>
      <c r="K78" s="124" t="s">
        <v>774</v>
      </c>
      <c r="L78" s="46">
        <f>(G79/1000000)</f>
        <v>0.2563049053281023</v>
      </c>
    </row>
    <row r="79" spans="1:12" ht="38.25">
      <c r="A79" s="124" t="s">
        <v>839</v>
      </c>
      <c r="B79" s="125">
        <f>(1*$B$53)</f>
        <v>5</v>
      </c>
      <c r="C79" s="132">
        <v>22.5</v>
      </c>
      <c r="D79" s="132">
        <f>(C79*$B$28)</f>
        <v>36.21024</v>
      </c>
      <c r="E79" s="125">
        <f>($B$75*'Boiler Data'!$N$4)</f>
        <v>1387.8909333333331</v>
      </c>
      <c r="F79" s="125">
        <f>(E79*D79)</f>
        <v>50255.86378982399</v>
      </c>
      <c r="G79" s="58">
        <f>(F79*'Eco indicator Points'!B73)</f>
        <v>256304.90532810232</v>
      </c>
      <c r="H79" s="66">
        <v>5500</v>
      </c>
      <c r="I79" s="78">
        <f>(H79*B79)</f>
        <v>27500</v>
      </c>
      <c r="J79" s="66" t="s">
        <v>632</v>
      </c>
      <c r="K79" s="124" t="s">
        <v>776</v>
      </c>
      <c r="L79" s="46">
        <f>(G80/1000000)</f>
        <v>16.257704928189675</v>
      </c>
    </row>
    <row r="80" spans="1:12" ht="51">
      <c r="A80" s="124" t="s">
        <v>835</v>
      </c>
      <c r="B80" s="125">
        <f>(1*$B$53)</f>
        <v>5</v>
      </c>
      <c r="C80" s="132">
        <v>1427.2</v>
      </c>
      <c r="D80" s="132">
        <f>(C80*$B$28)</f>
        <v>2296.8557568</v>
      </c>
      <c r="E80" s="125">
        <f>($B$75*'Boiler Data'!$N$4)</f>
        <v>1387.8909333333331</v>
      </c>
      <c r="F80" s="125">
        <f>(E80*D80)</f>
        <v>3187785.280037191</v>
      </c>
      <c r="G80" s="58">
        <f>(F80*'Eco indicator Points'!B73)</f>
        <v>16257704.928189674</v>
      </c>
      <c r="H80" s="66">
        <f>(20*H79)</f>
        <v>110000</v>
      </c>
      <c r="I80" s="66">
        <f>(H80*B80)</f>
        <v>550000</v>
      </c>
      <c r="J80" s="66" t="s">
        <v>652</v>
      </c>
      <c r="K80" s="124" t="s">
        <v>775</v>
      </c>
      <c r="L80" s="46">
        <f>(G81/1000000)</f>
        <v>0.6300565023524448</v>
      </c>
    </row>
    <row r="81" spans="1:12" ht="26.25" customHeight="1">
      <c r="A81" s="124" t="s">
        <v>840</v>
      </c>
      <c r="B81" s="125">
        <f>(1*$B$59)</f>
        <v>3.0530000000000026</v>
      </c>
      <c r="C81" s="132">
        <v>1087</v>
      </c>
      <c r="D81" s="132">
        <f>(C81*$B$28)</f>
        <v>1749.3569280000002</v>
      </c>
      <c r="E81" s="125">
        <f>($B$63/3)*B81</f>
        <v>70.62051699111122</v>
      </c>
      <c r="F81" s="125">
        <f>(E81*D81)</f>
        <v>123540.49065734213</v>
      </c>
      <c r="G81" s="58">
        <f>(F81*'Eco indicator Points'!B73)</f>
        <v>630056.5023524448</v>
      </c>
      <c r="H81" s="55">
        <v>5500</v>
      </c>
      <c r="I81" s="57">
        <f>(H81*B81)</f>
        <v>16791.500000000015</v>
      </c>
      <c r="J81" s="55" t="s">
        <v>633</v>
      </c>
      <c r="K81" s="133" t="s">
        <v>777</v>
      </c>
      <c r="L81" s="134">
        <f>(G91/1000000)</f>
        <v>-0.373786282501632</v>
      </c>
    </row>
    <row r="82" spans="1:12" ht="25.5">
      <c r="A82" s="124"/>
      <c r="B82" s="125"/>
      <c r="C82" s="132"/>
      <c r="D82" s="132"/>
      <c r="E82" s="125"/>
      <c r="F82" s="125"/>
      <c r="G82" s="58"/>
      <c r="H82" s="55"/>
      <c r="I82" s="55"/>
      <c r="J82" s="55"/>
      <c r="K82" s="133" t="s">
        <v>778</v>
      </c>
      <c r="L82" s="134">
        <f>(G92/1000000)</f>
        <v>-9.487402809862347</v>
      </c>
    </row>
    <row r="83" spans="1:12" ht="12.75">
      <c r="A83" s="124"/>
      <c r="B83" s="125"/>
      <c r="C83" s="132"/>
      <c r="D83" s="132"/>
      <c r="E83" s="125"/>
      <c r="F83" s="125"/>
      <c r="G83" s="58"/>
      <c r="H83" s="55"/>
      <c r="I83" s="55"/>
      <c r="J83" s="55"/>
      <c r="K83" s="43"/>
      <c r="L83" s="43"/>
    </row>
    <row r="84" spans="1:12" ht="42" customHeight="1">
      <c r="A84" s="70" t="s">
        <v>689</v>
      </c>
      <c r="B84" s="43"/>
      <c r="C84" s="44" t="s">
        <v>541</v>
      </c>
      <c r="D84" s="44" t="s">
        <v>815</v>
      </c>
      <c r="E84" s="44" t="s">
        <v>52</v>
      </c>
      <c r="F84" s="43"/>
      <c r="G84" s="43"/>
      <c r="H84" s="43"/>
      <c r="I84" s="43"/>
      <c r="J84" s="43"/>
      <c r="K84" s="43"/>
      <c r="L84" s="43"/>
    </row>
    <row r="85" spans="1:12" ht="43.5" customHeight="1">
      <c r="A85" s="122" t="s">
        <v>542</v>
      </c>
      <c r="B85" s="122"/>
      <c r="C85" s="123">
        <f>((($B$58+$B$59)/B9)*E9)</f>
        <v>-243629.4</v>
      </c>
      <c r="D85" s="131">
        <f>(C85*'Eco indicator Points'!B7)</f>
        <v>-221702754</v>
      </c>
      <c r="E85" s="122" t="s">
        <v>680</v>
      </c>
      <c r="F85" s="135" t="s">
        <v>681</v>
      </c>
      <c r="G85" s="43"/>
      <c r="H85" s="43"/>
      <c r="I85" s="43"/>
      <c r="J85" s="43"/>
      <c r="K85" s="43"/>
      <c r="L85" s="43"/>
    </row>
    <row r="86" spans="1:12" ht="12.75">
      <c r="A86" s="122" t="s">
        <v>537</v>
      </c>
      <c r="B86" s="123"/>
      <c r="C86" s="123">
        <f>((($B$58+$B$59)/B10)*E10)</f>
        <v>-243629.4</v>
      </c>
      <c r="D86" s="131">
        <f>(C86*'Eco indicator Points'!B26)</f>
        <v>-7308882</v>
      </c>
      <c r="E86" s="122" t="s">
        <v>61</v>
      </c>
      <c r="F86" s="43"/>
      <c r="G86" s="43"/>
      <c r="H86" s="43"/>
      <c r="I86" s="43"/>
      <c r="J86" s="43"/>
      <c r="K86" s="43"/>
      <c r="L86" s="43"/>
    </row>
    <row r="87" spans="1:12" ht="12.75">
      <c r="A87" s="122" t="s">
        <v>538</v>
      </c>
      <c r="B87" s="123"/>
      <c r="C87" s="123">
        <f>((($B$58+$B$59)/B11)*E11)</f>
        <v>-243629.4</v>
      </c>
      <c r="D87" s="131">
        <f>(C87*'Eco indicator Points'!B24)</f>
        <v>-5603476.2</v>
      </c>
      <c r="E87" s="122" t="s">
        <v>61</v>
      </c>
      <c r="F87" s="43"/>
      <c r="G87" s="43"/>
      <c r="H87" s="43"/>
      <c r="I87" s="43"/>
      <c r="J87" s="43"/>
      <c r="K87" s="43"/>
      <c r="L87" s="43"/>
    </row>
    <row r="88" spans="1:12" ht="12.75">
      <c r="A88" s="122" t="s">
        <v>539</v>
      </c>
      <c r="B88" s="123"/>
      <c r="C88" s="123">
        <f>((($B$58+$B$59)/B12)*E12)</f>
        <v>-556.8672</v>
      </c>
      <c r="D88" s="131">
        <f>(C88*'Eco indicator Points'!B21)</f>
        <v>-2227468.8000000003</v>
      </c>
      <c r="E88" s="122" t="s">
        <v>61</v>
      </c>
      <c r="F88" s="43"/>
      <c r="G88" s="43"/>
      <c r="H88" s="43"/>
      <c r="I88" s="43"/>
      <c r="J88" s="43"/>
      <c r="K88" s="43"/>
      <c r="L88" s="43"/>
    </row>
    <row r="89" spans="1:12" ht="31.5">
      <c r="A89" s="122" t="s">
        <v>540</v>
      </c>
      <c r="B89" s="123"/>
      <c r="C89" s="123">
        <f>((($B$58+$B$59)/B13)*E13)</f>
        <v>-440.85319999999996</v>
      </c>
      <c r="D89" s="131">
        <f>(C89*'Eco indicator Points'!B44)</f>
        <v>-158707.15199999997</v>
      </c>
      <c r="E89" s="122" t="s">
        <v>61</v>
      </c>
      <c r="F89" s="136" t="s">
        <v>1305</v>
      </c>
      <c r="G89" s="137">
        <f>SUM(D85:D89)</f>
        <v>-237001288.152</v>
      </c>
      <c r="H89" s="43"/>
      <c r="I89" s="43"/>
      <c r="J89" s="43"/>
      <c r="K89" s="43"/>
      <c r="L89" s="43"/>
    </row>
    <row r="90" spans="1:12" ht="51">
      <c r="A90" s="44" t="s">
        <v>690</v>
      </c>
      <c r="B90" s="44" t="s">
        <v>57</v>
      </c>
      <c r="C90" s="44" t="s">
        <v>1408</v>
      </c>
      <c r="D90" s="44" t="s">
        <v>1409</v>
      </c>
      <c r="E90" s="44" t="s">
        <v>1411</v>
      </c>
      <c r="F90" s="44" t="s">
        <v>1412</v>
      </c>
      <c r="G90" s="44" t="s">
        <v>820</v>
      </c>
      <c r="H90" s="44" t="s">
        <v>1417</v>
      </c>
      <c r="I90" s="44" t="s">
        <v>692</v>
      </c>
      <c r="J90" s="44" t="s">
        <v>52</v>
      </c>
      <c r="K90" s="43"/>
      <c r="L90" s="43"/>
    </row>
    <row r="91" spans="1:12" ht="38.25">
      <c r="A91" s="122" t="s">
        <v>576</v>
      </c>
      <c r="B91" s="123">
        <f>B58+B59</f>
        <v>-58.007</v>
      </c>
      <c r="C91" s="123">
        <v>260</v>
      </c>
      <c r="D91" s="123">
        <f>(C91*$B$28)</f>
        <v>418.42944</v>
      </c>
      <c r="E91" s="123">
        <f>(B91*D9)/1000</f>
        <v>-243.6294</v>
      </c>
      <c r="F91" s="131">
        <f>(E91*D91)/6</f>
        <v>-16990.285568256</v>
      </c>
      <c r="G91" s="131">
        <f>(F91*'Eco indicator Points'!$B$70)</f>
        <v>-373786.282501632</v>
      </c>
      <c r="H91" s="122">
        <v>2</v>
      </c>
      <c r="I91" s="131">
        <f>(H91*D91*B91)/6</f>
        <v>-8090.612175359999</v>
      </c>
      <c r="J91" s="55" t="s">
        <v>1413</v>
      </c>
      <c r="K91" s="43"/>
      <c r="L91" s="43"/>
    </row>
    <row r="92" spans="1:12" ht="38.25">
      <c r="A92" s="122" t="s">
        <v>577</v>
      </c>
      <c r="B92" s="123">
        <f>(1*B91)</f>
        <v>-58.007</v>
      </c>
      <c r="C92" s="123">
        <v>260</v>
      </c>
      <c r="D92" s="123">
        <f>(C92*$B$28)</f>
        <v>418.42944</v>
      </c>
      <c r="E92" s="123">
        <f>((B92/B57)*(C61+C62))/1000</f>
        <v>-1511.5894346666662</v>
      </c>
      <c r="F92" s="131">
        <f>(E92*D92)</f>
        <v>-632493.5206574898</v>
      </c>
      <c r="G92" s="131">
        <f>(F92*'Eco indicator Points'!$B$71)</f>
        <v>-9487402.809862347</v>
      </c>
      <c r="H92" s="122">
        <v>2</v>
      </c>
      <c r="I92" s="131">
        <f>(H92*D92*B92)</f>
        <v>-48543.67305216</v>
      </c>
      <c r="J92" s="55" t="s">
        <v>1414</v>
      </c>
      <c r="K92" s="43"/>
      <c r="L92" s="43"/>
    </row>
    <row r="93" spans="1:12" ht="31.5">
      <c r="A93" s="43"/>
      <c r="B93" s="43"/>
      <c r="C93" s="43"/>
      <c r="D93" s="43"/>
      <c r="E93" s="43"/>
      <c r="F93" s="136" t="s">
        <v>1306</v>
      </c>
      <c r="G93" s="137">
        <f>SUM(G91:G92)</f>
        <v>-9861189.09236398</v>
      </c>
      <c r="H93" s="43"/>
      <c r="I93" s="43"/>
      <c r="J93" s="43"/>
      <c r="K93" s="43"/>
      <c r="L93" s="43"/>
    </row>
    <row r="94" spans="1:12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</row>
    <row r="95" spans="1:12" ht="12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</row>
    <row r="96" spans="1:12" ht="12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>
      <c r="A97" s="43"/>
      <c r="B97" s="43"/>
      <c r="C97" s="43"/>
      <c r="D97" s="43"/>
      <c r="E97" s="43"/>
      <c r="F97" s="43"/>
      <c r="G97" s="43"/>
      <c r="H97" s="43" t="s">
        <v>1311</v>
      </c>
      <c r="I97" s="43" t="s">
        <v>1312</v>
      </c>
      <c r="J97" s="138" t="s">
        <v>1313</v>
      </c>
      <c r="K97" s="43"/>
      <c r="L97" s="43"/>
    </row>
    <row r="98" spans="1:12" ht="12.75">
      <c r="A98" s="43"/>
      <c r="B98" s="43"/>
      <c r="C98" s="43"/>
      <c r="D98" s="43"/>
      <c r="E98" s="43"/>
      <c r="F98" s="43"/>
      <c r="G98" s="43"/>
      <c r="H98" s="43">
        <v>3.5</v>
      </c>
      <c r="I98" s="43">
        <f>(H98*1000)</f>
        <v>3500</v>
      </c>
      <c r="J98" s="102">
        <f>(I98/0.45359237)</f>
        <v>7716.179176470715</v>
      </c>
      <c r="K98" s="43"/>
      <c r="L98" s="43"/>
    </row>
    <row r="99" spans="1:12" ht="12.75">
      <c r="A99" s="43"/>
      <c r="B99" s="43" t="s">
        <v>1408</v>
      </c>
      <c r="C99" s="43"/>
      <c r="D99" s="43"/>
      <c r="E99" s="43" t="s">
        <v>1352</v>
      </c>
      <c r="F99" s="43" t="s">
        <v>1353</v>
      </c>
      <c r="G99" s="43"/>
      <c r="H99" s="43"/>
      <c r="I99" s="43"/>
      <c r="J99" s="43"/>
      <c r="K99" s="43"/>
      <c r="L99" s="43"/>
    </row>
    <row r="100" spans="1:12" ht="12.75">
      <c r="A100" s="43" t="s">
        <v>1093</v>
      </c>
      <c r="B100" s="43">
        <v>10.2</v>
      </c>
      <c r="C100" s="102"/>
      <c r="D100" s="43" t="s">
        <v>1351</v>
      </c>
      <c r="E100" s="43">
        <f>((20.6+2)*(2*(3.5+2)))</f>
        <v>248.60000000000002</v>
      </c>
      <c r="F100" s="43">
        <v>593</v>
      </c>
      <c r="G100" s="43"/>
      <c r="H100" s="43"/>
      <c r="I100" s="43"/>
      <c r="J100" s="43"/>
      <c r="K100" s="43"/>
      <c r="L100" s="43"/>
    </row>
    <row r="101" spans="1:12" ht="12.75">
      <c r="A101" s="43" t="s">
        <v>1094</v>
      </c>
      <c r="B101" s="43">
        <v>1717.5</v>
      </c>
      <c r="C101" s="102"/>
      <c r="D101" s="43"/>
      <c r="E101" s="43" t="s">
        <v>1352</v>
      </c>
      <c r="F101" s="43"/>
      <c r="G101" s="43"/>
      <c r="H101" s="43"/>
      <c r="I101" s="43"/>
      <c r="J101" s="43"/>
      <c r="K101" s="43"/>
      <c r="L101" s="43"/>
    </row>
    <row r="102" spans="1:12" ht="12.75">
      <c r="A102" s="43" t="s">
        <v>1095</v>
      </c>
      <c r="B102" s="43">
        <v>63.49</v>
      </c>
      <c r="C102" s="102"/>
      <c r="D102" s="43" t="s">
        <v>1364</v>
      </c>
      <c r="E102" s="43">
        <v>8.7</v>
      </c>
      <c r="F102" s="43">
        <f>(1*B126)</f>
        <v>1240</v>
      </c>
      <c r="G102" s="43"/>
      <c r="H102" s="43"/>
      <c r="I102" s="43"/>
      <c r="J102" s="43"/>
      <c r="K102" s="43"/>
      <c r="L102" s="43"/>
    </row>
    <row r="103" spans="1:12" ht="24">
      <c r="A103" s="43" t="s">
        <v>1096</v>
      </c>
      <c r="B103" s="43">
        <v>1087</v>
      </c>
      <c r="C103" s="102"/>
      <c r="D103" s="43"/>
      <c r="E103" s="43" t="s">
        <v>1352</v>
      </c>
      <c r="F103" s="43" t="s">
        <v>1353</v>
      </c>
      <c r="G103" s="43"/>
      <c r="H103" s="43"/>
      <c r="I103" s="43" t="s">
        <v>1308</v>
      </c>
      <c r="J103" s="139" t="s">
        <v>1314</v>
      </c>
      <c r="K103" s="43" t="s">
        <v>1315</v>
      </c>
      <c r="L103" s="43"/>
    </row>
    <row r="104" spans="1:12" ht="12.75">
      <c r="A104" s="43" t="s">
        <v>985</v>
      </c>
      <c r="B104" s="43">
        <v>207.7</v>
      </c>
      <c r="C104" s="102"/>
      <c r="D104" s="43" t="s">
        <v>1365</v>
      </c>
      <c r="E104" s="43">
        <v>30</v>
      </c>
      <c r="F104" s="43">
        <f>1400</f>
        <v>1400</v>
      </c>
      <c r="G104" s="43"/>
      <c r="H104" s="43" t="s">
        <v>1307</v>
      </c>
      <c r="I104" s="43">
        <v>1500</v>
      </c>
      <c r="J104" s="43">
        <v>93</v>
      </c>
      <c r="K104" s="43">
        <f>(J104/60)*I104</f>
        <v>2325</v>
      </c>
      <c r="L104" s="43"/>
    </row>
    <row r="105" spans="1:12" ht="12.75">
      <c r="A105" s="43" t="s">
        <v>990</v>
      </c>
      <c r="B105" s="43">
        <v>5500</v>
      </c>
      <c r="C105" s="102"/>
      <c r="D105" s="43"/>
      <c r="E105" s="43"/>
      <c r="F105" s="43" t="s">
        <v>1367</v>
      </c>
      <c r="G105" s="43" t="s">
        <v>1369</v>
      </c>
      <c r="H105" s="43" t="s">
        <v>1309</v>
      </c>
      <c r="I105" s="43">
        <v>2000</v>
      </c>
      <c r="J105" s="43">
        <v>80</v>
      </c>
      <c r="K105" s="45">
        <f>(J105/60)*I105</f>
        <v>2666.6666666666665</v>
      </c>
      <c r="L105" s="43"/>
    </row>
    <row r="106" spans="1:12" ht="12.75">
      <c r="A106" s="43" t="s">
        <v>868</v>
      </c>
      <c r="B106" s="43">
        <v>3.7282</v>
      </c>
      <c r="C106" s="43"/>
      <c r="D106" s="43" t="s">
        <v>1368</v>
      </c>
      <c r="E106" s="43"/>
      <c r="F106" s="43">
        <v>1100</v>
      </c>
      <c r="G106" s="43">
        <v>1350</v>
      </c>
      <c r="H106" s="43" t="s">
        <v>1310</v>
      </c>
      <c r="I106" s="43">
        <v>2500</v>
      </c>
      <c r="J106" s="43">
        <v>55</v>
      </c>
      <c r="K106" s="45">
        <f>(J106/60)*I106</f>
        <v>2291.6666666666665</v>
      </c>
      <c r="L106" s="43"/>
    </row>
    <row r="107" spans="1:12" ht="20.25">
      <c r="A107" s="88" t="s">
        <v>475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5">
        <f>AVERAGE(K104:K106)</f>
        <v>2427.7777777777774</v>
      </c>
      <c r="L107" s="43"/>
    </row>
    <row r="108" spans="1:12" ht="38.25">
      <c r="A108" s="44" t="s">
        <v>578</v>
      </c>
      <c r="B108" s="44" t="s">
        <v>57</v>
      </c>
      <c r="C108" s="44" t="s">
        <v>440</v>
      </c>
      <c r="D108" s="44" t="s">
        <v>178</v>
      </c>
      <c r="E108" s="44" t="s">
        <v>225</v>
      </c>
      <c r="F108" s="44" t="s">
        <v>820</v>
      </c>
      <c r="G108" s="44" t="s">
        <v>52</v>
      </c>
      <c r="H108" s="43"/>
      <c r="I108" s="43"/>
      <c r="J108" s="43"/>
      <c r="K108" s="44"/>
      <c r="L108" s="44"/>
    </row>
    <row r="109" spans="1:12" ht="38.25">
      <c r="A109" s="55" t="s">
        <v>1393</v>
      </c>
      <c r="B109" s="55">
        <v>0</v>
      </c>
      <c r="C109" s="55" t="s">
        <v>556</v>
      </c>
      <c r="D109" s="55">
        <v>0</v>
      </c>
      <c r="E109" s="57">
        <f>(D109*B109)</f>
        <v>0</v>
      </c>
      <c r="F109" s="58">
        <f>(E109*'Eco indicator Points'!$B$7)</f>
        <v>0</v>
      </c>
      <c r="G109" s="81" t="s">
        <v>536</v>
      </c>
      <c r="H109" s="43"/>
      <c r="I109" s="43"/>
      <c r="J109" s="43"/>
      <c r="K109" s="43"/>
      <c r="L109" s="43"/>
    </row>
    <row r="110" spans="1:12" ht="12.75">
      <c r="A110" s="97" t="s">
        <v>1359</v>
      </c>
      <c r="B110" s="43">
        <v>2</v>
      </c>
      <c r="C110" s="43" t="s">
        <v>357</v>
      </c>
      <c r="D110" s="43">
        <f>(1*Packages!F34)</f>
        <v>3080</v>
      </c>
      <c r="E110" s="45">
        <f>(D110*B110)</f>
        <v>6160</v>
      </c>
      <c r="F110" s="52">
        <f>(E110*'Eco indicator Points'!B8)</f>
        <v>677600</v>
      </c>
      <c r="G110" s="81"/>
      <c r="H110" s="43"/>
      <c r="I110" s="43"/>
      <c r="J110" s="43"/>
      <c r="K110" s="43"/>
      <c r="L110" s="43"/>
    </row>
    <row r="111" spans="1:12" ht="12.75">
      <c r="A111" s="97" t="s">
        <v>1358</v>
      </c>
      <c r="B111" s="43">
        <f>(1*B110)</f>
        <v>2</v>
      </c>
      <c r="C111" s="43" t="s">
        <v>357</v>
      </c>
      <c r="D111" s="43">
        <f>(0.1*D110)</f>
        <v>308</v>
      </c>
      <c r="E111" s="45">
        <f>(D111*B111)</f>
        <v>616</v>
      </c>
      <c r="F111" s="52">
        <f>(E111*'Eco indicator Points'!B8)</f>
        <v>67760</v>
      </c>
      <c r="G111" s="81"/>
      <c r="H111" s="43"/>
      <c r="I111" s="43"/>
      <c r="J111" s="43"/>
      <c r="K111" s="43"/>
      <c r="L111" s="43"/>
    </row>
    <row r="112" spans="1:12" ht="25.5">
      <c r="A112" s="44" t="s">
        <v>1394</v>
      </c>
      <c r="B112" s="44" t="s">
        <v>57</v>
      </c>
      <c r="C112" s="44" t="s">
        <v>1398</v>
      </c>
      <c r="D112" s="44" t="s">
        <v>1399</v>
      </c>
      <c r="E112" s="80" t="s">
        <v>1402</v>
      </c>
      <c r="F112" s="98" t="s">
        <v>1403</v>
      </c>
      <c r="G112" s="44" t="s">
        <v>52</v>
      </c>
      <c r="H112" s="44"/>
      <c r="I112" s="43"/>
      <c r="J112" s="43"/>
      <c r="K112" s="43"/>
      <c r="L112" s="43"/>
    </row>
    <row r="113" spans="1:12" ht="25.5">
      <c r="A113" s="81" t="s">
        <v>547</v>
      </c>
      <c r="B113" s="103">
        <f>(1*B110)</f>
        <v>2</v>
      </c>
      <c r="C113" s="81">
        <f>(1*Packages!J34)</f>
        <v>5500</v>
      </c>
      <c r="D113" s="81">
        <f>(1*Packages!K34)</f>
        <v>5500</v>
      </c>
      <c r="E113" s="103">
        <f>(C113*B113)</f>
        <v>11000</v>
      </c>
      <c r="F113" s="103">
        <f>(D113*B113)</f>
        <v>11000</v>
      </c>
      <c r="G113" s="81" t="s">
        <v>914</v>
      </c>
      <c r="H113" s="55"/>
      <c r="I113" s="43"/>
      <c r="J113" s="43"/>
      <c r="K113" s="43"/>
      <c r="L113" s="43"/>
    </row>
    <row r="114" spans="1:12" ht="12.75">
      <c r="A114" s="76"/>
      <c r="B114" s="76"/>
      <c r="C114" s="76"/>
      <c r="D114" s="76"/>
      <c r="E114" s="99"/>
      <c r="F114" s="100"/>
      <c r="G114" s="76"/>
      <c r="H114" s="43"/>
      <c r="I114" s="43"/>
      <c r="J114" s="43"/>
      <c r="K114" s="43"/>
      <c r="L114" s="43"/>
    </row>
    <row r="115" spans="1:12" ht="20.25">
      <c r="A115" s="101" t="s">
        <v>474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>
      <c r="A116" s="76" t="s">
        <v>1410</v>
      </c>
      <c r="B116" s="102">
        <v>1.609344</v>
      </c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51">
      <c r="A117" s="44" t="s">
        <v>573</v>
      </c>
      <c r="B117" s="44" t="s">
        <v>57</v>
      </c>
      <c r="C117" s="44" t="s">
        <v>1408</v>
      </c>
      <c r="D117" s="44" t="s">
        <v>1409</v>
      </c>
      <c r="E117" s="44" t="s">
        <v>1411</v>
      </c>
      <c r="F117" s="44" t="s">
        <v>1412</v>
      </c>
      <c r="G117" s="44" t="s">
        <v>820</v>
      </c>
      <c r="H117" s="44" t="s">
        <v>1417</v>
      </c>
      <c r="I117" s="44" t="s">
        <v>1418</v>
      </c>
      <c r="J117" s="44" t="s">
        <v>52</v>
      </c>
      <c r="K117" s="44"/>
      <c r="L117" s="44"/>
    </row>
    <row r="118" spans="1:12" ht="25.5" customHeight="1">
      <c r="A118" s="81" t="s">
        <v>986</v>
      </c>
      <c r="B118" s="57">
        <f>+(1*B113)</f>
        <v>2</v>
      </c>
      <c r="C118" s="57">
        <f>(1*B104)</f>
        <v>207.7</v>
      </c>
      <c r="D118" s="56">
        <f>(C118*B116)</f>
        <v>334.2607488</v>
      </c>
      <c r="E118" s="73">
        <f>(E110)/1000</f>
        <v>6.16</v>
      </c>
      <c r="F118" s="56">
        <f>(E118*D118)/2</f>
        <v>1029.523106304</v>
      </c>
      <c r="G118" s="56">
        <f>(F118*'Eco indicator Points'!$B$70)</f>
        <v>22649.508338688</v>
      </c>
      <c r="H118" s="55">
        <v>2</v>
      </c>
      <c r="I118" s="57">
        <f>(H118*D118*B118)/2</f>
        <v>668.5214976</v>
      </c>
      <c r="J118" s="72" t="s">
        <v>988</v>
      </c>
      <c r="K118" s="72" t="s">
        <v>808</v>
      </c>
      <c r="L118" s="103"/>
    </row>
    <row r="119" spans="1:12" ht="23.25" customHeight="1">
      <c r="A119" s="81" t="s">
        <v>987</v>
      </c>
      <c r="B119" s="57">
        <f>(1*B113)</f>
        <v>2</v>
      </c>
      <c r="C119" s="56">
        <f>(1*B103)</f>
        <v>1087</v>
      </c>
      <c r="D119" s="56">
        <f>(C119*B116)</f>
        <v>1749.3569280000002</v>
      </c>
      <c r="E119" s="56">
        <f>(1*E118)</f>
        <v>6.16</v>
      </c>
      <c r="F119" s="56">
        <f>(E119*D119)/2</f>
        <v>5388.01933824</v>
      </c>
      <c r="G119" s="56">
        <f>(F119*'Eco indicator Points'!$B$73)</f>
        <v>27478.898625023998</v>
      </c>
      <c r="H119" s="55" t="s">
        <v>556</v>
      </c>
      <c r="I119" s="57">
        <f>(B105-I118-I120)</f>
        <v>4627.12400128</v>
      </c>
      <c r="J119" s="72" t="s">
        <v>988</v>
      </c>
      <c r="K119" s="72" t="s">
        <v>915</v>
      </c>
      <c r="L119" s="103"/>
    </row>
    <row r="120" spans="1:12" ht="25.5" customHeight="1">
      <c r="A120" s="81" t="s">
        <v>989</v>
      </c>
      <c r="B120" s="57">
        <f>(1*B113)</f>
        <v>2</v>
      </c>
      <c r="C120" s="56">
        <f>(1*B102)</f>
        <v>63.49</v>
      </c>
      <c r="D120" s="56">
        <f>(C120*B116)</f>
        <v>102.17725056</v>
      </c>
      <c r="E120" s="56">
        <f>(1*E118)</f>
        <v>6.16</v>
      </c>
      <c r="F120" s="56">
        <f>(E120*D120)/2</f>
        <v>314.7059317248</v>
      </c>
      <c r="G120" s="56">
        <f>(F120*'Eco indicator Points'!$B$70)</f>
        <v>6923.5304979456</v>
      </c>
      <c r="H120" s="55">
        <f>(1*H118)</f>
        <v>2</v>
      </c>
      <c r="I120" s="57">
        <f>(H120*D120*B120)/2</f>
        <v>204.35450112</v>
      </c>
      <c r="J120" s="72" t="s">
        <v>988</v>
      </c>
      <c r="K120" s="72" t="s">
        <v>808</v>
      </c>
      <c r="L120" s="103"/>
    </row>
    <row r="121" spans="1:12" ht="25.5">
      <c r="A121" s="44" t="s">
        <v>579</v>
      </c>
      <c r="B121" s="104" t="s">
        <v>694</v>
      </c>
      <c r="C121" s="80" t="s">
        <v>693</v>
      </c>
      <c r="D121" s="80" t="s">
        <v>569</v>
      </c>
      <c r="E121" s="80" t="s">
        <v>820</v>
      </c>
      <c r="F121" s="98" t="s">
        <v>126</v>
      </c>
      <c r="G121" s="43"/>
      <c r="H121" s="55"/>
      <c r="I121" s="58"/>
      <c r="J121" s="44"/>
      <c r="K121" s="43"/>
      <c r="L121" s="43"/>
    </row>
    <row r="122" spans="1:12" ht="12.75">
      <c r="A122" s="81" t="s">
        <v>1415</v>
      </c>
      <c r="B122" s="66" t="s">
        <v>570</v>
      </c>
      <c r="C122" s="55"/>
      <c r="D122" s="55"/>
      <c r="E122" s="55"/>
      <c r="F122" s="66"/>
      <c r="G122" s="55"/>
      <c r="H122" s="55"/>
      <c r="I122" s="55"/>
      <c r="J122" s="55"/>
      <c r="K122" s="43"/>
      <c r="L122" s="43"/>
    </row>
    <row r="123" spans="1:12" ht="12.75">
      <c r="A123" s="81" t="s">
        <v>582</v>
      </c>
      <c r="B123" s="66" t="s">
        <v>570</v>
      </c>
      <c r="C123" s="55"/>
      <c r="D123" s="55"/>
      <c r="E123" s="55"/>
      <c r="F123" s="66"/>
      <c r="G123" s="55"/>
      <c r="H123" s="55"/>
      <c r="I123" s="55"/>
      <c r="J123" s="55"/>
      <c r="K123" s="43"/>
      <c r="L123" s="43"/>
    </row>
    <row r="124" spans="1:12" ht="12.75">
      <c r="A124" s="76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20.25">
      <c r="A125" s="101" t="s">
        <v>473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>
      <c r="A126" s="76" t="s">
        <v>27</v>
      </c>
      <c r="B126" s="43">
        <f>(1*'All Wastes'!B75)</f>
        <v>1240</v>
      </c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8">
      <c r="A127" s="65" t="s">
        <v>472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38.25">
      <c r="A128" s="44"/>
      <c r="B128" s="44" t="s">
        <v>584</v>
      </c>
      <c r="C128" s="44" t="s">
        <v>585</v>
      </c>
      <c r="D128" s="44" t="s">
        <v>1354</v>
      </c>
      <c r="E128" s="44" t="s">
        <v>1355</v>
      </c>
      <c r="F128" s="44" t="s">
        <v>52</v>
      </c>
      <c r="G128" s="66" t="s">
        <v>1356</v>
      </c>
      <c r="H128" s="43"/>
      <c r="I128" s="43"/>
      <c r="J128" s="43"/>
      <c r="K128" s="44"/>
      <c r="L128" s="44"/>
    </row>
    <row r="129" spans="1:12" ht="12.75">
      <c r="A129" s="55" t="s">
        <v>1349</v>
      </c>
      <c r="B129" s="57">
        <f>(1*'Boiler Data'!J28)</f>
        <v>760</v>
      </c>
      <c r="C129" s="57">
        <f>(B129*1000)</f>
        <v>760000</v>
      </c>
      <c r="D129" s="58">
        <f>(C129*'Eco indicator Points'!$B$6)</f>
        <v>65360000</v>
      </c>
      <c r="E129" s="58">
        <f>(C129*'Eco indicator Points'!$B$8)</f>
        <v>83600000</v>
      </c>
      <c r="F129" s="55" t="s">
        <v>534</v>
      </c>
      <c r="G129" s="43"/>
      <c r="H129" s="43"/>
      <c r="I129" s="43"/>
      <c r="J129" s="43"/>
      <c r="K129" s="44"/>
      <c r="L129" s="45"/>
    </row>
    <row r="130" spans="1:12" ht="12.75">
      <c r="A130" s="55" t="s">
        <v>1350</v>
      </c>
      <c r="B130" s="57"/>
      <c r="C130" s="57">
        <f>(4*(E100-'Boiler Data'!M28)*F100)</f>
        <v>146186.36000000004</v>
      </c>
      <c r="D130" s="57">
        <f>(C130*'Eco indicator Points'!B48)</f>
        <v>1900422.6800000006</v>
      </c>
      <c r="E130" s="58"/>
      <c r="F130" s="55"/>
      <c r="G130" s="48" t="s">
        <v>1357</v>
      </c>
      <c r="H130" s="43"/>
      <c r="I130" s="43"/>
      <c r="J130" s="43"/>
      <c r="K130" s="44"/>
      <c r="L130" s="45"/>
    </row>
    <row r="131" spans="1:12" ht="51">
      <c r="A131" s="44" t="s">
        <v>1347</v>
      </c>
      <c r="B131" s="44" t="s">
        <v>57</v>
      </c>
      <c r="C131" s="44" t="s">
        <v>1408</v>
      </c>
      <c r="D131" s="44" t="s">
        <v>1409</v>
      </c>
      <c r="E131" s="44" t="s">
        <v>1411</v>
      </c>
      <c r="F131" s="44" t="s">
        <v>1412</v>
      </c>
      <c r="G131" s="44" t="s">
        <v>820</v>
      </c>
      <c r="H131" s="44" t="s">
        <v>1417</v>
      </c>
      <c r="I131" s="44" t="s">
        <v>1418</v>
      </c>
      <c r="J131" s="44" t="s">
        <v>52</v>
      </c>
      <c r="K131" s="44"/>
      <c r="L131" s="45"/>
    </row>
    <row r="132" spans="1:12" ht="12.75">
      <c r="A132" s="55" t="s">
        <v>867</v>
      </c>
      <c r="B132" s="57">
        <v>4</v>
      </c>
      <c r="C132" s="73">
        <f>(1*B106)</f>
        <v>3.7282</v>
      </c>
      <c r="D132" s="140">
        <f>(C132*B116)</f>
        <v>5.999956300800001</v>
      </c>
      <c r="E132" s="57">
        <f>(B132*'Boiler Data'!N28)</f>
        <v>760</v>
      </c>
      <c r="F132" s="56">
        <f>(E132*D132)</f>
        <v>4559.966788608001</v>
      </c>
      <c r="G132" s="45">
        <f>(F132*7*'Eco indicator Points'!B70)</f>
        <v>702234.8854456322</v>
      </c>
      <c r="H132" s="43"/>
      <c r="I132" s="43"/>
      <c r="J132" s="43"/>
      <c r="K132" s="44"/>
      <c r="L132" s="45"/>
    </row>
    <row r="133" spans="1:12" ht="18">
      <c r="A133" s="65" t="s">
        <v>471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>
      <c r="A134" s="119" t="s">
        <v>981</v>
      </c>
      <c r="B134" s="120">
        <v>4</v>
      </c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>
      <c r="A135" s="120" t="s">
        <v>686</v>
      </c>
      <c r="B135" s="120">
        <v>0.95</v>
      </c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>
      <c r="A136" s="121" t="s">
        <v>687</v>
      </c>
      <c r="B136" s="121">
        <f>(1-B135)</f>
        <v>0.050000000000000044</v>
      </c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>
      <c r="A137" s="124" t="s">
        <v>982</v>
      </c>
      <c r="B137" s="125">
        <f>(1*B118)</f>
        <v>2</v>
      </c>
      <c r="C137" s="124"/>
      <c r="D137" s="124"/>
      <c r="E137" s="124"/>
      <c r="F137" s="124"/>
      <c r="G137" s="84"/>
      <c r="H137" s="43"/>
      <c r="I137" s="43"/>
      <c r="J137" s="43"/>
      <c r="K137" s="43"/>
      <c r="L137" s="43"/>
    </row>
    <row r="138" spans="1:12" ht="51">
      <c r="A138" s="44" t="s">
        <v>984</v>
      </c>
      <c r="B138" s="44" t="s">
        <v>584</v>
      </c>
      <c r="C138" s="44" t="s">
        <v>585</v>
      </c>
      <c r="D138" s="44" t="s">
        <v>821</v>
      </c>
      <c r="E138" s="44" t="s">
        <v>720</v>
      </c>
      <c r="F138" s="44" t="s">
        <v>52</v>
      </c>
      <c r="G138" s="43"/>
      <c r="H138" s="43"/>
      <c r="I138" s="43"/>
      <c r="J138" s="43"/>
      <c r="K138" s="44"/>
      <c r="L138" s="44"/>
    </row>
    <row r="139" spans="1:12" ht="12.75">
      <c r="A139" s="124" t="s">
        <v>983</v>
      </c>
      <c r="B139" s="57">
        <f>(B134*'Boiler Data'!N28)*B136</f>
        <v>38.000000000000036</v>
      </c>
      <c r="C139" s="128">
        <f>(B139*1000)</f>
        <v>38000.00000000004</v>
      </c>
      <c r="D139" s="57">
        <f>(C139*'Eco indicator Points'!$B$6)</f>
        <v>3268000.0000000033</v>
      </c>
      <c r="E139" s="58">
        <f>(C139*'Eco indicator Points'!$B$8)</f>
        <v>4180000.000000004</v>
      </c>
      <c r="F139" s="55" t="s">
        <v>357</v>
      </c>
      <c r="G139" s="84"/>
      <c r="H139" s="43"/>
      <c r="I139" s="43"/>
      <c r="J139" s="43"/>
      <c r="K139" s="124"/>
      <c r="L139" s="45"/>
    </row>
    <row r="140" spans="1:12" ht="25.5">
      <c r="A140" s="110" t="s">
        <v>1348</v>
      </c>
      <c r="B140" s="57"/>
      <c r="C140" s="129">
        <f>(E102*F102)</f>
        <v>10788</v>
      </c>
      <c r="D140" s="111">
        <f>(C140*'Eco indicator Points'!$B$58)</f>
        <v>215760</v>
      </c>
      <c r="E140" s="58"/>
      <c r="F140" s="130" t="s">
        <v>653</v>
      </c>
      <c r="G140" s="43"/>
      <c r="H140" s="43"/>
      <c r="I140" s="43"/>
      <c r="J140" s="43"/>
      <c r="K140" s="110"/>
      <c r="L140" s="45"/>
    </row>
    <row r="141" spans="1:12" ht="51">
      <c r="A141" s="44" t="s">
        <v>1361</v>
      </c>
      <c r="B141" s="44" t="s">
        <v>584</v>
      </c>
      <c r="C141" s="44" t="s">
        <v>585</v>
      </c>
      <c r="D141" s="44" t="s">
        <v>721</v>
      </c>
      <c r="E141" s="44" t="s">
        <v>821</v>
      </c>
      <c r="F141" s="44" t="s">
        <v>52</v>
      </c>
      <c r="G141" s="43"/>
      <c r="H141" s="43"/>
      <c r="I141" s="43"/>
      <c r="J141" s="43"/>
      <c r="K141" s="55"/>
      <c r="L141" s="57"/>
    </row>
    <row r="142" spans="1:12" ht="25.5">
      <c r="A142" s="122" t="s">
        <v>829</v>
      </c>
      <c r="B142" s="123">
        <f>(B129*B135)</f>
        <v>722</v>
      </c>
      <c r="C142" s="123">
        <f>(B142*1000)</f>
        <v>722000</v>
      </c>
      <c r="D142" s="131">
        <f>(C142*'Eco indicator Points'!B78)</f>
        <v>-50540000</v>
      </c>
      <c r="E142" s="131">
        <f>(C142*'Eco indicator Points'!B8)*(0-1)</f>
        <v>-79420000</v>
      </c>
      <c r="F142" s="122" t="s">
        <v>767</v>
      </c>
      <c r="G142" s="43"/>
      <c r="H142" s="43"/>
      <c r="I142" s="43"/>
      <c r="J142" s="43"/>
      <c r="K142" s="122"/>
      <c r="L142" s="45"/>
    </row>
    <row r="143" spans="1:12" ht="25.5">
      <c r="A143" s="124" t="s">
        <v>1300</v>
      </c>
      <c r="B143" s="141"/>
      <c r="C143" s="141">
        <v>1659</v>
      </c>
      <c r="D143" s="141">
        <f>(C143*'Eco indicator Points'!B35)</f>
        <v>398160</v>
      </c>
      <c r="E143" s="142"/>
      <c r="F143" s="143"/>
      <c r="G143" s="55" t="s">
        <v>1301</v>
      </c>
      <c r="H143" s="43"/>
      <c r="I143" s="43"/>
      <c r="J143" s="43"/>
      <c r="K143" s="122"/>
      <c r="L143" s="45"/>
    </row>
    <row r="144" spans="1:12" ht="12.75">
      <c r="A144" s="124" t="s">
        <v>1322</v>
      </c>
      <c r="B144" s="141">
        <f>(B129-B142)</f>
        <v>38</v>
      </c>
      <c r="C144" s="141">
        <f>(B144*1000)</f>
        <v>38000</v>
      </c>
      <c r="D144" s="142"/>
      <c r="E144" s="141">
        <f>(C144*'Eco indicator Points'!B6)</f>
        <v>3268000</v>
      </c>
      <c r="F144" s="143"/>
      <c r="G144" s="43"/>
      <c r="H144" s="43"/>
      <c r="I144" s="43"/>
      <c r="J144" s="43"/>
      <c r="K144" s="122"/>
      <c r="L144" s="45"/>
    </row>
    <row r="145" spans="1:12" ht="12.75">
      <c r="A145" s="124" t="s">
        <v>1323</v>
      </c>
      <c r="B145" s="141">
        <f>(1*B144)</f>
        <v>38</v>
      </c>
      <c r="C145" s="141">
        <f>(C144*1)</f>
        <v>38000</v>
      </c>
      <c r="D145" s="142"/>
      <c r="E145" s="141">
        <f>(C145*'Eco indicator Points'!B24)</f>
        <v>874000</v>
      </c>
      <c r="F145" s="143"/>
      <c r="G145" s="43"/>
      <c r="H145" s="43"/>
      <c r="I145" s="43"/>
      <c r="J145" s="43"/>
      <c r="K145" s="122"/>
      <c r="L145" s="45"/>
    </row>
    <row r="146" spans="1:12" ht="38.25">
      <c r="A146" s="66"/>
      <c r="B146" s="144" t="s">
        <v>1316</v>
      </c>
      <c r="C146" s="144" t="s">
        <v>1317</v>
      </c>
      <c r="D146" s="145" t="s">
        <v>1318</v>
      </c>
      <c r="E146" s="145" t="s">
        <v>1319</v>
      </c>
      <c r="F146" s="70" t="s">
        <v>1320</v>
      </c>
      <c r="G146" s="44" t="s">
        <v>820</v>
      </c>
      <c r="H146" s="44" t="s">
        <v>126</v>
      </c>
      <c r="I146" s="43"/>
      <c r="J146" s="43"/>
      <c r="K146" s="122"/>
      <c r="L146" s="45"/>
    </row>
    <row r="147" spans="1:12" ht="12.75">
      <c r="A147" s="71" t="s">
        <v>833</v>
      </c>
      <c r="B147" s="141">
        <f>(B129/H98)</f>
        <v>217.14285714285714</v>
      </c>
      <c r="C147" s="141">
        <f>(1*I98)</f>
        <v>3500</v>
      </c>
      <c r="D147" s="141">
        <f>(1*J98)</f>
        <v>7716.179176470715</v>
      </c>
      <c r="E147" s="141">
        <f>(1*K107)</f>
        <v>2427.7777777777774</v>
      </c>
      <c r="F147" s="141">
        <f>(E147*B147)</f>
        <v>527174.6031746031</v>
      </c>
      <c r="G147" s="45">
        <f>(F147*'Eco indicator Points'!B65)</f>
        <v>11597841.269841269</v>
      </c>
      <c r="H147" s="43" t="s">
        <v>1321</v>
      </c>
      <c r="I147" s="43"/>
      <c r="J147" s="43"/>
      <c r="K147" s="43"/>
      <c r="L147" s="43"/>
    </row>
    <row r="148" spans="1:12" ht="25.5">
      <c r="A148" s="71"/>
      <c r="B148" s="141"/>
      <c r="C148" s="144" t="s">
        <v>1324</v>
      </c>
      <c r="D148" s="141"/>
      <c r="E148" s="141"/>
      <c r="F148" s="141"/>
      <c r="G148" s="45"/>
      <c r="H148" s="43"/>
      <c r="I148" s="43"/>
      <c r="J148" s="43"/>
      <c r="K148" s="43"/>
      <c r="L148" s="43"/>
    </row>
    <row r="149" spans="1:12" ht="38.25">
      <c r="A149" s="71" t="s">
        <v>1325</v>
      </c>
      <c r="B149" s="141"/>
      <c r="C149" s="141">
        <f>(11*10*0.1*0.25*1100)</f>
        <v>3025</v>
      </c>
      <c r="D149" s="141">
        <f>(C149*'Eco indicator Points'!B23)</f>
        <v>2420000</v>
      </c>
      <c r="E149" s="141"/>
      <c r="F149" s="141"/>
      <c r="G149" s="45"/>
      <c r="H149" s="43"/>
      <c r="I149" s="43"/>
      <c r="J149" s="43"/>
      <c r="K149" s="43"/>
      <c r="L149" s="43"/>
    </row>
    <row r="150" spans="1:12" ht="38.25">
      <c r="A150" s="71" t="s">
        <v>1326</v>
      </c>
      <c r="B150" s="141"/>
      <c r="C150" s="141">
        <f>(246*0.001*1000*4)</f>
        <v>984</v>
      </c>
      <c r="D150" s="141">
        <f>(C150*'Eco indicator Points'!B23)</f>
        <v>787200</v>
      </c>
      <c r="E150" s="141"/>
      <c r="F150" s="141"/>
      <c r="G150" s="45"/>
      <c r="H150" s="43"/>
      <c r="I150" s="43"/>
      <c r="J150" s="43"/>
      <c r="K150" s="43"/>
      <c r="L150" s="43"/>
    </row>
    <row r="151" spans="1:12" ht="12.75">
      <c r="A151" s="66" t="s">
        <v>832</v>
      </c>
      <c r="B151" s="141"/>
      <c r="C151" s="141"/>
      <c r="D151" s="142"/>
      <c r="E151" s="131"/>
      <c r="F151" s="70"/>
      <c r="G151" s="43"/>
      <c r="H151" s="43"/>
      <c r="I151" s="43"/>
      <c r="J151" s="43"/>
      <c r="K151" s="43"/>
      <c r="L151" s="43"/>
    </row>
    <row r="152" spans="1:12" ht="51">
      <c r="A152" s="44" t="s">
        <v>1360</v>
      </c>
      <c r="B152" s="44" t="s">
        <v>57</v>
      </c>
      <c r="C152" s="44" t="s">
        <v>1408</v>
      </c>
      <c r="D152" s="44" t="s">
        <v>1409</v>
      </c>
      <c r="E152" s="44" t="s">
        <v>1411</v>
      </c>
      <c r="F152" s="44" t="s">
        <v>1412</v>
      </c>
      <c r="G152" s="44" t="s">
        <v>820</v>
      </c>
      <c r="H152" s="44" t="s">
        <v>1417</v>
      </c>
      <c r="I152" s="44" t="s">
        <v>692</v>
      </c>
      <c r="J152" s="44" t="s">
        <v>52</v>
      </c>
      <c r="K152" s="43"/>
      <c r="L152" s="43"/>
    </row>
    <row r="153" spans="1:12" ht="25.5">
      <c r="A153" s="146" t="s">
        <v>1362</v>
      </c>
      <c r="B153" s="146">
        <f>(1*B134)</f>
        <v>4</v>
      </c>
      <c r="C153" s="146">
        <f>(1*B100)</f>
        <v>10.2</v>
      </c>
      <c r="D153" s="147">
        <f>(C153*B116)</f>
        <v>16.4153088</v>
      </c>
      <c r="E153" s="146">
        <f>(B134*'Boiler Data'!N28)</f>
        <v>760</v>
      </c>
      <c r="F153" s="148">
        <f>(E153*D153)</f>
        <v>12475.634687999998</v>
      </c>
      <c r="G153" s="148">
        <f>(F153*7*'Eco indicator Points'!B70)</f>
        <v>1921247.741952</v>
      </c>
      <c r="H153" s="44"/>
      <c r="I153" s="44"/>
      <c r="J153" s="44"/>
      <c r="K153" s="43"/>
      <c r="L153" s="43"/>
    </row>
    <row r="154" spans="1:12" ht="25.5">
      <c r="A154" s="146" t="s">
        <v>1363</v>
      </c>
      <c r="B154" s="146">
        <v>4</v>
      </c>
      <c r="C154" s="146">
        <f>(1*B101)</f>
        <v>1717.5</v>
      </c>
      <c r="D154" s="149">
        <f>(C154*B116)</f>
        <v>2764.0483200000003</v>
      </c>
      <c r="E154" s="146">
        <f>(1*E153)</f>
        <v>760</v>
      </c>
      <c r="F154" s="148">
        <f>(E154*D154)</f>
        <v>2100676.7232000004</v>
      </c>
      <c r="G154" s="57">
        <f>(F154*'Eco indicator Points'!$B$73)</f>
        <v>10713451.288320001</v>
      </c>
      <c r="H154" s="44"/>
      <c r="I154" s="44"/>
      <c r="J154" s="44"/>
      <c r="K154" s="43"/>
      <c r="L154" s="43"/>
    </row>
    <row r="155" spans="1:12" ht="22.5">
      <c r="A155" s="81" t="s">
        <v>991</v>
      </c>
      <c r="B155" s="57">
        <f>(1*B113)</f>
        <v>2</v>
      </c>
      <c r="C155" s="56">
        <f>(1*B102)</f>
        <v>63.49</v>
      </c>
      <c r="D155" s="56">
        <f>(C155*B116)</f>
        <v>102.17725056</v>
      </c>
      <c r="E155" s="73">
        <f>(E120+(B129-B142))</f>
        <v>44.16</v>
      </c>
      <c r="F155" s="57">
        <f>(E155*D155)</f>
        <v>4512.1473847296</v>
      </c>
      <c r="G155" s="57">
        <f>(F155*'Eco indicator Points'!$B$71)</f>
        <v>67682.210770944</v>
      </c>
      <c r="H155" s="55">
        <f>(1*H118)</f>
        <v>2</v>
      </c>
      <c r="I155" s="57">
        <f>(H155*D155*B155)</f>
        <v>408.70900224</v>
      </c>
      <c r="J155" s="72" t="s">
        <v>809</v>
      </c>
      <c r="K155" s="72" t="s">
        <v>913</v>
      </c>
      <c r="L155" s="43"/>
    </row>
    <row r="156" spans="1:12" ht="33.75">
      <c r="A156" s="81" t="s">
        <v>992</v>
      </c>
      <c r="B156" s="57">
        <f>(1*B113)</f>
        <v>2</v>
      </c>
      <c r="C156" s="56">
        <f>(1*B103)</f>
        <v>1087</v>
      </c>
      <c r="D156" s="56">
        <f>(C156*B116)</f>
        <v>1749.3569280000002</v>
      </c>
      <c r="E156" s="73">
        <f>(1*E155)</f>
        <v>44.16</v>
      </c>
      <c r="F156" s="57">
        <f>(E156*D156)</f>
        <v>77251.60194048</v>
      </c>
      <c r="G156" s="57">
        <f>(F156*'Eco indicator Points'!$B$73)</f>
        <v>393983.169896448</v>
      </c>
      <c r="H156" s="55" t="s">
        <v>556</v>
      </c>
      <c r="I156" s="57">
        <f>((2*B105)-I155-I157)</f>
        <v>9254.24800256</v>
      </c>
      <c r="J156" s="72" t="s">
        <v>809</v>
      </c>
      <c r="K156" s="72" t="s">
        <v>916</v>
      </c>
      <c r="L156" s="43"/>
    </row>
    <row r="157" spans="1:12" ht="22.5">
      <c r="A157" s="81" t="s">
        <v>993</v>
      </c>
      <c r="B157" s="57">
        <f>(1*B113)</f>
        <v>2</v>
      </c>
      <c r="C157" s="56">
        <f>(1*B104)</f>
        <v>207.7</v>
      </c>
      <c r="D157" s="56">
        <f>(C157*B116)</f>
        <v>334.2607488</v>
      </c>
      <c r="E157" s="73">
        <f>(1*E155)</f>
        <v>44.16</v>
      </c>
      <c r="F157" s="57">
        <f>(E157*D157)</f>
        <v>14760.954667007998</v>
      </c>
      <c r="G157" s="57">
        <f>(F157*'Eco indicator Points'!$B$71)</f>
        <v>221414.32000511998</v>
      </c>
      <c r="H157" s="55">
        <f>(1*H118)</f>
        <v>2</v>
      </c>
      <c r="I157" s="57">
        <f>(H157*D157*B157)</f>
        <v>1337.0429952</v>
      </c>
      <c r="J157" s="72" t="s">
        <v>809</v>
      </c>
      <c r="K157" s="72" t="s">
        <v>913</v>
      </c>
      <c r="L157" s="43"/>
    </row>
    <row r="158" spans="1:6" ht="25.5">
      <c r="A158" s="154"/>
      <c r="B158" s="44" t="s">
        <v>57</v>
      </c>
      <c r="C158" s="44" t="s">
        <v>1226</v>
      </c>
      <c r="D158" s="44" t="s">
        <v>1227</v>
      </c>
      <c r="E158" s="44" t="s">
        <v>820</v>
      </c>
      <c r="F158" s="5" t="s">
        <v>1030</v>
      </c>
    </row>
    <row r="159" spans="1:5" ht="12.75">
      <c r="A159" s="154" t="s">
        <v>1225</v>
      </c>
      <c r="B159" s="43">
        <v>2</v>
      </c>
      <c r="C159" s="155">
        <f>(E102/2)</f>
        <v>4.35</v>
      </c>
      <c r="D159" s="43">
        <f>(B159*C159*F102)</f>
        <v>10788</v>
      </c>
      <c r="E159" s="43">
        <f>(D159*'Eco indicator Points'!B58)</f>
        <v>215760</v>
      </c>
    </row>
  </sheetData>
  <sheetProtection/>
  <printOptions/>
  <pageMargins left="0.75" right="0.75" top="1" bottom="1" header="0.5" footer="0.5"/>
  <pageSetup horizontalDpi="600" verticalDpi="600" orientation="landscape" paperSize="9" scale="55"/>
  <rowBreaks count="4" manualBreakCount="4">
    <brk id="26" max="255" man="1"/>
    <brk id="64" max="255" man="1"/>
    <brk id="93" max="255" man="1"/>
    <brk id="132" max="255" man="1"/>
  </rowBreaks>
  <colBreaks count="1" manualBreakCount="1">
    <brk id="12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6"/>
  <sheetViews>
    <sheetView zoomScalePageLayoutView="0" workbookViewId="0" topLeftCell="A70">
      <selection activeCell="W56" sqref="W56"/>
    </sheetView>
  </sheetViews>
  <sheetFormatPr defaultColWidth="11.421875" defaultRowHeight="12.75"/>
  <cols>
    <col min="1" max="1" width="30.421875" style="0" customWidth="1"/>
    <col min="2" max="2" width="10.140625" style="0" customWidth="1"/>
    <col min="3" max="3" width="13.421875" style="0" customWidth="1"/>
    <col min="4" max="4" width="10.140625" style="0" customWidth="1"/>
    <col min="5" max="5" width="11.421875" style="0" customWidth="1"/>
    <col min="7" max="7" width="17.421875" style="0" customWidth="1"/>
    <col min="8" max="8" width="12.7109375" style="0" customWidth="1"/>
    <col min="9" max="9" width="13.421875" style="0" customWidth="1"/>
    <col min="10" max="10" width="12.421875" style="0" customWidth="1"/>
  </cols>
  <sheetData>
    <row r="1" spans="1:2" ht="25.5">
      <c r="A1" s="4" t="s">
        <v>519</v>
      </c>
      <c r="B1" s="5" t="s">
        <v>520</v>
      </c>
    </row>
    <row r="2" spans="1:2" ht="12.75">
      <c r="A2" s="4" t="s">
        <v>601</v>
      </c>
      <c r="B2" s="5" t="s">
        <v>521</v>
      </c>
    </row>
    <row r="3" spans="1:2" ht="12.75">
      <c r="A3" s="4" t="s">
        <v>602</v>
      </c>
      <c r="B3" s="11">
        <v>40933</v>
      </c>
    </row>
    <row r="4" spans="1:2" ht="12.75">
      <c r="A4" s="4" t="s">
        <v>603</v>
      </c>
      <c r="B4" s="5" t="s">
        <v>522</v>
      </c>
    </row>
    <row r="5" ht="12.75">
      <c r="A5" s="4" t="s">
        <v>604</v>
      </c>
    </row>
    <row r="6" spans="1:5" ht="12.75">
      <c r="A6" s="4"/>
      <c r="B6" s="4" t="s">
        <v>509</v>
      </c>
      <c r="C6" s="1" t="s">
        <v>510</v>
      </c>
      <c r="D6" s="1" t="s">
        <v>285</v>
      </c>
      <c r="E6" s="1" t="s">
        <v>512</v>
      </c>
    </row>
    <row r="7" spans="1:5" ht="38.25">
      <c r="A7" s="4" t="s">
        <v>287</v>
      </c>
      <c r="B7" s="3">
        <f>(1*'Rad Metals for SimaPro'!B11)</f>
        <v>300000</v>
      </c>
      <c r="C7" s="12">
        <f>(1*'Rad Metals for SimaPro'!C11)-D7</f>
        <v>4324819.85</v>
      </c>
      <c r="D7" s="3">
        <f>(1*'Rad Metals for SimaPro'!E39)</f>
        <v>375180.15</v>
      </c>
      <c r="E7" s="5" t="s">
        <v>50</v>
      </c>
    </row>
    <row r="8" spans="1:5" ht="38.25">
      <c r="A8" s="4" t="s">
        <v>288</v>
      </c>
      <c r="B8" s="3">
        <f>(1*'Rad Metals for SimaPro'!B9)</f>
        <v>102000</v>
      </c>
      <c r="C8" s="3">
        <f>(1*'Rad Metals for SimaPro'!C9)-D8</f>
        <v>631912.68</v>
      </c>
      <c r="D8" s="3">
        <f>(1*'Rad Metals for SimaPro'!E36)</f>
        <v>145222.31999999998</v>
      </c>
      <c r="E8" s="5" t="s">
        <v>511</v>
      </c>
    </row>
    <row r="9" spans="1:4" ht="12.75">
      <c r="A9" s="4" t="s">
        <v>508</v>
      </c>
      <c r="B9" s="13">
        <f>(B8/B7)</f>
        <v>0.34</v>
      </c>
      <c r="C9" s="13">
        <f>(C8/C7)</f>
        <v>0.14611306410832353</v>
      </c>
      <c r="D9" s="13">
        <f>(D8/D7)</f>
        <v>0.3870735698570406</v>
      </c>
    </row>
    <row r="11" ht="20.25">
      <c r="A11" s="31" t="s">
        <v>128</v>
      </c>
    </row>
    <row r="12" spans="1:9" ht="45" customHeight="1">
      <c r="A12" s="44" t="s">
        <v>177</v>
      </c>
      <c r="B12" s="44" t="s">
        <v>57</v>
      </c>
      <c r="C12" s="44" t="s">
        <v>440</v>
      </c>
      <c r="D12" s="44" t="s">
        <v>178</v>
      </c>
      <c r="E12" s="44" t="s">
        <v>225</v>
      </c>
      <c r="F12" s="44" t="s">
        <v>820</v>
      </c>
      <c r="G12" s="44" t="s">
        <v>722</v>
      </c>
      <c r="H12" s="44" t="s">
        <v>177</v>
      </c>
      <c r="I12" s="44" t="s">
        <v>851</v>
      </c>
    </row>
    <row r="13" spans="1:9" ht="12.75">
      <c r="A13" s="43" t="s">
        <v>495</v>
      </c>
      <c r="B13" s="45">
        <v>78.7</v>
      </c>
      <c r="C13" s="43" t="s">
        <v>284</v>
      </c>
      <c r="D13" s="43">
        <f>(1*Packages!F11)</f>
        <v>3000</v>
      </c>
      <c r="E13" s="45">
        <f>(D13*B13)</f>
        <v>236100</v>
      </c>
      <c r="F13" s="52">
        <f>(E13*'Eco indicator Points'!$B$7)</f>
        <v>214851000</v>
      </c>
      <c r="G13" s="52">
        <f>(F13*$B$9)</f>
        <v>73049340</v>
      </c>
      <c r="H13" s="43" t="s">
        <v>495</v>
      </c>
      <c r="I13" s="45">
        <f>(F13/1000000)</f>
        <v>214.851</v>
      </c>
    </row>
    <row r="14" spans="1:9" ht="14.25">
      <c r="A14" s="127" t="s">
        <v>82</v>
      </c>
      <c r="B14" s="126">
        <f>(1*B13)</f>
        <v>78.7</v>
      </c>
      <c r="C14" s="127" t="s">
        <v>226</v>
      </c>
      <c r="D14" s="127">
        <f>(1.1*$B$75)</f>
        <v>1364</v>
      </c>
      <c r="E14" s="126">
        <f aca="true" t="shared" si="0" ref="E14:E59">(D14*B14)</f>
        <v>107346.8</v>
      </c>
      <c r="F14" s="199">
        <f>(E14*'Eco indicator Points'!$B$58)</f>
        <v>2146936</v>
      </c>
      <c r="G14" s="199">
        <f>(F14*$B$9)</f>
        <v>729958.2400000001</v>
      </c>
      <c r="H14" s="127" t="s">
        <v>82</v>
      </c>
      <c r="I14" s="45">
        <f aca="true" t="shared" si="1" ref="I14:I45">(F14/1000000)</f>
        <v>2.146936</v>
      </c>
    </row>
    <row r="15" spans="1:9" ht="12.75">
      <c r="A15" s="43" t="s">
        <v>497</v>
      </c>
      <c r="B15" s="45">
        <v>76.8</v>
      </c>
      <c r="C15" s="43" t="s">
        <v>284</v>
      </c>
      <c r="D15" s="43">
        <f>(1*Packages!F12)</f>
        <v>3000</v>
      </c>
      <c r="E15" s="45">
        <f t="shared" si="0"/>
        <v>230400</v>
      </c>
      <c r="F15" s="52">
        <f>(E15*'Eco indicator Points'!$B$7)</f>
        <v>209664000</v>
      </c>
      <c r="G15" s="52">
        <f aca="true" t="shared" si="2" ref="G15:G45">(F15*$B$9)</f>
        <v>71285760</v>
      </c>
      <c r="H15" s="43" t="s">
        <v>497</v>
      </c>
      <c r="I15" s="45">
        <f t="shared" si="1"/>
        <v>209.664</v>
      </c>
    </row>
    <row r="16" spans="1:9" ht="14.25">
      <c r="A16" s="127" t="s">
        <v>227</v>
      </c>
      <c r="B16" s="126">
        <f>(1*B15)</f>
        <v>76.8</v>
      </c>
      <c r="C16" s="127" t="s">
        <v>226</v>
      </c>
      <c r="D16" s="127">
        <f>(3*$B$75)</f>
        <v>3720</v>
      </c>
      <c r="E16" s="126">
        <f t="shared" si="0"/>
        <v>285696</v>
      </c>
      <c r="F16" s="199">
        <f>(E16*'Eco indicator Points'!$B$58)</f>
        <v>5713920</v>
      </c>
      <c r="G16" s="199">
        <f t="shared" si="2"/>
        <v>1942732.8</v>
      </c>
      <c r="H16" s="127" t="s">
        <v>227</v>
      </c>
      <c r="I16" s="45">
        <f t="shared" si="1"/>
        <v>5.71392</v>
      </c>
    </row>
    <row r="17" spans="1:9" ht="12.75">
      <c r="A17" s="43" t="s">
        <v>498</v>
      </c>
      <c r="B17" s="45">
        <v>92.4</v>
      </c>
      <c r="C17" s="43" t="s">
        <v>284</v>
      </c>
      <c r="D17" s="43">
        <f>(1*Packages!F10)</f>
        <v>3000</v>
      </c>
      <c r="E17" s="45">
        <f t="shared" si="0"/>
        <v>277200</v>
      </c>
      <c r="F17" s="52">
        <f>(E17*'Eco indicator Points'!$B$7)</f>
        <v>252252000</v>
      </c>
      <c r="G17" s="52">
        <f t="shared" si="2"/>
        <v>85765680</v>
      </c>
      <c r="H17" s="43" t="s">
        <v>498</v>
      </c>
      <c r="I17" s="45">
        <f t="shared" si="1"/>
        <v>252.252</v>
      </c>
    </row>
    <row r="18" spans="1:9" ht="12.75">
      <c r="A18" s="43" t="s">
        <v>397</v>
      </c>
      <c r="B18" s="45">
        <v>19</v>
      </c>
      <c r="C18" s="169" t="s">
        <v>284</v>
      </c>
      <c r="D18" s="43">
        <f>(1*Packages!F11)</f>
        <v>3000</v>
      </c>
      <c r="E18" s="45">
        <f t="shared" si="0"/>
        <v>57000</v>
      </c>
      <c r="F18" s="52">
        <f>(E18*'Eco indicator Points'!$B$7)</f>
        <v>51870000</v>
      </c>
      <c r="G18" s="52">
        <f t="shared" si="2"/>
        <v>17635800</v>
      </c>
      <c r="H18" s="43" t="s">
        <v>397</v>
      </c>
      <c r="I18" s="45">
        <f t="shared" si="1"/>
        <v>51.87</v>
      </c>
    </row>
    <row r="19" spans="1:9" ht="14.25">
      <c r="A19" s="127" t="s">
        <v>228</v>
      </c>
      <c r="B19" s="126">
        <f>(1*B18)</f>
        <v>19</v>
      </c>
      <c r="C19" s="127" t="s">
        <v>226</v>
      </c>
      <c r="D19" s="127">
        <f>(1.65*$B$75)</f>
        <v>2046</v>
      </c>
      <c r="E19" s="126">
        <f t="shared" si="0"/>
        <v>38874</v>
      </c>
      <c r="F19" s="199">
        <f>(E19*'Eco indicator Points'!$B$58)</f>
        <v>777480</v>
      </c>
      <c r="G19" s="199">
        <f t="shared" si="2"/>
        <v>264343.2</v>
      </c>
      <c r="H19" s="127" t="s">
        <v>228</v>
      </c>
      <c r="I19" s="45">
        <f t="shared" si="1"/>
        <v>0.77748</v>
      </c>
    </row>
    <row r="20" spans="1:9" ht="12.75">
      <c r="A20" s="43" t="s">
        <v>398</v>
      </c>
      <c r="B20" s="45">
        <v>3359.8</v>
      </c>
      <c r="C20" s="43" t="s">
        <v>613</v>
      </c>
      <c r="D20" s="43">
        <f>(1*Packages!F4)</f>
        <v>733.6</v>
      </c>
      <c r="E20" s="45">
        <f t="shared" si="0"/>
        <v>2464749.2800000003</v>
      </c>
      <c r="F20" s="52">
        <f>(E20*'Eco indicator Points'!$B$7)</f>
        <v>2242921844.8</v>
      </c>
      <c r="G20" s="52">
        <f t="shared" si="2"/>
        <v>762593427.2320001</v>
      </c>
      <c r="H20" s="43" t="s">
        <v>398</v>
      </c>
      <c r="I20" s="45">
        <f t="shared" si="1"/>
        <v>2242.9218448</v>
      </c>
    </row>
    <row r="21" spans="1:9" ht="12.75">
      <c r="A21" s="43" t="s">
        <v>399</v>
      </c>
      <c r="B21" s="45">
        <v>272.7</v>
      </c>
      <c r="C21" s="43" t="s">
        <v>614</v>
      </c>
      <c r="D21" s="43">
        <f>(1*Packages!F4)</f>
        <v>733.6</v>
      </c>
      <c r="E21" s="45">
        <f t="shared" si="0"/>
        <v>200052.72</v>
      </c>
      <c r="F21" s="52">
        <f>(E21*'Eco indicator Points'!$B$7)</f>
        <v>182047975.2</v>
      </c>
      <c r="G21" s="52">
        <f t="shared" si="2"/>
        <v>61896311.568</v>
      </c>
      <c r="H21" s="43" t="s">
        <v>399</v>
      </c>
      <c r="I21" s="45">
        <f t="shared" si="1"/>
        <v>182.0479752</v>
      </c>
    </row>
    <row r="22" spans="1:9" ht="12.75">
      <c r="A22" s="43" t="s">
        <v>400</v>
      </c>
      <c r="B22" s="45">
        <v>1319.5</v>
      </c>
      <c r="C22" s="43" t="s">
        <v>614</v>
      </c>
      <c r="D22" s="43">
        <f>(1*Packages!F5)</f>
        <v>633.6</v>
      </c>
      <c r="E22" s="45">
        <f t="shared" si="0"/>
        <v>836035.2000000001</v>
      </c>
      <c r="F22" s="52">
        <f>(E22*'Eco indicator Points'!$B$7)</f>
        <v>760792032.0000001</v>
      </c>
      <c r="G22" s="52">
        <f t="shared" si="2"/>
        <v>258669290.88000005</v>
      </c>
      <c r="H22" s="43" t="s">
        <v>400</v>
      </c>
      <c r="I22" s="45">
        <f t="shared" si="1"/>
        <v>760.7920320000001</v>
      </c>
    </row>
    <row r="23" spans="1:9" ht="12.75">
      <c r="A23" s="43" t="s">
        <v>401</v>
      </c>
      <c r="B23" s="45">
        <v>384.7</v>
      </c>
      <c r="C23" s="43" t="s">
        <v>614</v>
      </c>
      <c r="D23" s="43">
        <f>(1*Packages!F5)</f>
        <v>633.6</v>
      </c>
      <c r="E23" s="45">
        <f t="shared" si="0"/>
        <v>243745.92</v>
      </c>
      <c r="F23" s="52">
        <f>(E23*'Eco indicator Points'!$B$7)</f>
        <v>221808787.20000002</v>
      </c>
      <c r="G23" s="52">
        <f t="shared" si="2"/>
        <v>75414987.64800002</v>
      </c>
      <c r="H23" s="43" t="s">
        <v>401</v>
      </c>
      <c r="I23" s="45">
        <f t="shared" si="1"/>
        <v>221.8087872</v>
      </c>
    </row>
    <row r="24" spans="1:9" ht="12.75">
      <c r="A24" s="43" t="s">
        <v>402</v>
      </c>
      <c r="B24" s="45">
        <v>2569.4</v>
      </c>
      <c r="C24" s="43" t="s">
        <v>284</v>
      </c>
      <c r="D24" s="43">
        <f>(1*Packages!F7)</f>
        <v>4200</v>
      </c>
      <c r="E24" s="45">
        <f t="shared" si="0"/>
        <v>10791480</v>
      </c>
      <c r="F24" s="52">
        <f>(E24*'Eco indicator Points'!$B$7)</f>
        <v>9820246800</v>
      </c>
      <c r="G24" s="52">
        <f t="shared" si="2"/>
        <v>3338883912.0000005</v>
      </c>
      <c r="H24" s="43" t="s">
        <v>402</v>
      </c>
      <c r="I24" s="45">
        <f t="shared" si="1"/>
        <v>9820.2468</v>
      </c>
    </row>
    <row r="25" spans="1:9" ht="14.25">
      <c r="A25" s="127" t="s">
        <v>83</v>
      </c>
      <c r="B25" s="126">
        <f>(1*B24)</f>
        <v>2569.4</v>
      </c>
      <c r="C25" s="127" t="s">
        <v>226</v>
      </c>
      <c r="D25" s="127">
        <f>(3*$B$75)</f>
        <v>3720</v>
      </c>
      <c r="E25" s="126">
        <f t="shared" si="0"/>
        <v>9558168</v>
      </c>
      <c r="F25" s="199">
        <f>(E25*'Eco indicator Points'!$B$58)</f>
        <v>191163360</v>
      </c>
      <c r="G25" s="199">
        <f t="shared" si="2"/>
        <v>64995542.400000006</v>
      </c>
      <c r="H25" s="127" t="s">
        <v>83</v>
      </c>
      <c r="I25" s="45">
        <f t="shared" si="1"/>
        <v>191.16336</v>
      </c>
    </row>
    <row r="26" spans="1:9" ht="12.75">
      <c r="A26" s="43" t="s">
        <v>403</v>
      </c>
      <c r="B26" s="45">
        <v>858.8</v>
      </c>
      <c r="C26" s="43" t="s">
        <v>284</v>
      </c>
      <c r="D26" s="43">
        <f>(1*Packages!F8)</f>
        <v>4200</v>
      </c>
      <c r="E26" s="45">
        <f t="shared" si="0"/>
        <v>3606960</v>
      </c>
      <c r="F26" s="52">
        <f>(E26*'Eco indicator Points'!$B$7)</f>
        <v>3282333600</v>
      </c>
      <c r="G26" s="52">
        <f t="shared" si="2"/>
        <v>1115993424</v>
      </c>
      <c r="H26" s="43" t="s">
        <v>403</v>
      </c>
      <c r="I26" s="45">
        <f t="shared" si="1"/>
        <v>3282.3336</v>
      </c>
    </row>
    <row r="27" spans="1:9" ht="14.25">
      <c r="A27" s="127" t="s">
        <v>84</v>
      </c>
      <c r="B27" s="126">
        <f>(1*B26)</f>
        <v>858.8</v>
      </c>
      <c r="C27" s="127" t="s">
        <v>226</v>
      </c>
      <c r="D27" s="127">
        <f>(5.5*$B$75)</f>
        <v>6820</v>
      </c>
      <c r="E27" s="126">
        <f t="shared" si="0"/>
        <v>5857016</v>
      </c>
      <c r="F27" s="199">
        <f>(E27*'Eco indicator Points'!$B$58)</f>
        <v>117140320</v>
      </c>
      <c r="G27" s="199">
        <f t="shared" si="2"/>
        <v>39827708.800000004</v>
      </c>
      <c r="H27" s="127" t="s">
        <v>84</v>
      </c>
      <c r="I27" s="45">
        <f t="shared" si="1"/>
        <v>117.14032</v>
      </c>
    </row>
    <row r="28" spans="1:9" ht="12.75">
      <c r="A28" s="43" t="s">
        <v>235</v>
      </c>
      <c r="B28" s="45">
        <v>81.8</v>
      </c>
      <c r="C28" s="43" t="s">
        <v>284</v>
      </c>
      <c r="D28" s="43">
        <f>(1*Packages!F9)</f>
        <v>4200</v>
      </c>
      <c r="E28" s="45">
        <f t="shared" si="0"/>
        <v>343560</v>
      </c>
      <c r="F28" s="52">
        <f>(E28*'Eco indicator Points'!$B$7)</f>
        <v>312639600</v>
      </c>
      <c r="G28" s="52">
        <f t="shared" si="2"/>
        <v>106297464.00000001</v>
      </c>
      <c r="H28" s="43" t="s">
        <v>235</v>
      </c>
      <c r="I28" s="45">
        <f t="shared" si="1"/>
        <v>312.6396</v>
      </c>
    </row>
    <row r="29" spans="1:9" ht="14.25">
      <c r="A29" s="127" t="s">
        <v>85</v>
      </c>
      <c r="B29" s="126">
        <f>(1*B28)</f>
        <v>81.8</v>
      </c>
      <c r="C29" s="127" t="s">
        <v>226</v>
      </c>
      <c r="D29" s="127">
        <f>(8.4*$B$75)</f>
        <v>10416</v>
      </c>
      <c r="E29" s="126">
        <f t="shared" si="0"/>
        <v>852028.7999999999</v>
      </c>
      <c r="F29" s="199">
        <f>(E29*'Eco indicator Points'!$B$58)</f>
        <v>17040576</v>
      </c>
      <c r="G29" s="199">
        <f t="shared" si="2"/>
        <v>5793795.840000001</v>
      </c>
      <c r="H29" s="127" t="s">
        <v>85</v>
      </c>
      <c r="I29" s="45">
        <f t="shared" si="1"/>
        <v>17.040576</v>
      </c>
    </row>
    <row r="30" spans="1:9" ht="12.75">
      <c r="A30" s="43" t="s">
        <v>236</v>
      </c>
      <c r="B30" s="45">
        <v>2678.3</v>
      </c>
      <c r="C30" s="43" t="s">
        <v>284</v>
      </c>
      <c r="D30" s="43">
        <f>(1*Packages!F6)</f>
        <v>4200</v>
      </c>
      <c r="E30" s="45">
        <f t="shared" si="0"/>
        <v>11248860</v>
      </c>
      <c r="F30" s="52">
        <f>(E30*'Eco indicator Points'!$B$7)</f>
        <v>10236462600</v>
      </c>
      <c r="G30" s="52">
        <f t="shared" si="2"/>
        <v>3480397284.0000005</v>
      </c>
      <c r="H30" s="43" t="s">
        <v>236</v>
      </c>
      <c r="I30" s="45">
        <f t="shared" si="1"/>
        <v>10236.4626</v>
      </c>
    </row>
    <row r="31" spans="1:9" ht="14.25">
      <c r="A31" s="43" t="s">
        <v>237</v>
      </c>
      <c r="B31" s="45">
        <v>107978.7</v>
      </c>
      <c r="C31" s="43" t="s">
        <v>179</v>
      </c>
      <c r="D31" s="43">
        <f>(1*Packages!$F$3)</f>
        <v>135</v>
      </c>
      <c r="E31" s="45">
        <f t="shared" si="0"/>
        <v>14577124.5</v>
      </c>
      <c r="F31" s="52">
        <f>(E31*'Eco indicator Points'!$B$7)</f>
        <v>13265183295</v>
      </c>
      <c r="G31" s="52">
        <f t="shared" si="2"/>
        <v>4510162320.3</v>
      </c>
      <c r="H31" s="43" t="s">
        <v>237</v>
      </c>
      <c r="I31" s="45">
        <f t="shared" si="1"/>
        <v>13265.183295</v>
      </c>
    </row>
    <row r="32" spans="1:9" ht="14.25">
      <c r="A32" s="43" t="s">
        <v>238</v>
      </c>
      <c r="B32" s="45">
        <v>25080</v>
      </c>
      <c r="C32" s="43" t="s">
        <v>179</v>
      </c>
      <c r="D32" s="43">
        <f>(1*Packages!$F$3)</f>
        <v>135</v>
      </c>
      <c r="E32" s="45">
        <f t="shared" si="0"/>
        <v>3385800</v>
      </c>
      <c r="F32" s="52">
        <f>(E32*'Eco indicator Points'!$B$7)</f>
        <v>3081078000</v>
      </c>
      <c r="G32" s="52">
        <f t="shared" si="2"/>
        <v>1047566520.0000001</v>
      </c>
      <c r="H32" s="43" t="s">
        <v>238</v>
      </c>
      <c r="I32" s="45">
        <f t="shared" si="1"/>
        <v>3081.078</v>
      </c>
    </row>
    <row r="33" spans="1:9" ht="14.25">
      <c r="A33" s="43" t="s">
        <v>543</v>
      </c>
      <c r="B33" s="45">
        <v>5375.3</v>
      </c>
      <c r="C33" s="43" t="s">
        <v>179</v>
      </c>
      <c r="D33" s="43">
        <f>(1*Packages!$F$3)</f>
        <v>135</v>
      </c>
      <c r="E33" s="45">
        <f t="shared" si="0"/>
        <v>725665.5</v>
      </c>
      <c r="F33" s="52">
        <f>(E33*'Eco indicator Points'!$B$7)</f>
        <v>660355605</v>
      </c>
      <c r="G33" s="52">
        <f t="shared" si="2"/>
        <v>224520905.70000002</v>
      </c>
      <c r="H33" s="43" t="s">
        <v>543</v>
      </c>
      <c r="I33" s="45">
        <f t="shared" si="1"/>
        <v>660.355605</v>
      </c>
    </row>
    <row r="34" spans="1:9" ht="14.25">
      <c r="A34" s="43" t="s">
        <v>544</v>
      </c>
      <c r="B34" s="45">
        <v>110</v>
      </c>
      <c r="C34" s="43" t="s">
        <v>179</v>
      </c>
      <c r="D34" s="43">
        <v>135</v>
      </c>
      <c r="E34" s="45">
        <f t="shared" si="0"/>
        <v>14850</v>
      </c>
      <c r="F34" s="52">
        <f>(E34*'Eco indicator Points'!$B$7)</f>
        <v>13513500</v>
      </c>
      <c r="G34" s="52">
        <f t="shared" si="2"/>
        <v>4594590</v>
      </c>
      <c r="H34" s="43" t="s">
        <v>544</v>
      </c>
      <c r="I34" s="45">
        <f t="shared" si="1"/>
        <v>13.5135</v>
      </c>
    </row>
    <row r="35" spans="1:9" ht="14.25">
      <c r="A35" s="43" t="s">
        <v>545</v>
      </c>
      <c r="B35" s="45">
        <v>8.9</v>
      </c>
      <c r="C35" s="43" t="s">
        <v>78</v>
      </c>
      <c r="D35" s="43">
        <f>(1*Packages!F13)</f>
        <v>18300</v>
      </c>
      <c r="E35" s="45">
        <f t="shared" si="0"/>
        <v>162870</v>
      </c>
      <c r="F35" s="52">
        <f>(E35*'Eco indicator Points'!$B$3)</f>
        <v>39088800</v>
      </c>
      <c r="G35" s="52">
        <f t="shared" si="2"/>
        <v>13290192.000000002</v>
      </c>
      <c r="H35" s="43" t="s">
        <v>545</v>
      </c>
      <c r="I35" s="45">
        <f t="shared" si="1"/>
        <v>39.0888</v>
      </c>
    </row>
    <row r="36" spans="1:9" ht="14.25">
      <c r="A36" s="43" t="s">
        <v>546</v>
      </c>
      <c r="B36" s="45">
        <v>38.4</v>
      </c>
      <c r="C36" s="43" t="s">
        <v>79</v>
      </c>
      <c r="D36" s="43">
        <f>(1*Packages!F14)</f>
        <v>9800</v>
      </c>
      <c r="E36" s="45">
        <f t="shared" si="0"/>
        <v>376320</v>
      </c>
      <c r="F36" s="52">
        <f>(E36*'Eco indicator Points'!$B$3)</f>
        <v>90316800</v>
      </c>
      <c r="G36" s="52">
        <f t="shared" si="2"/>
        <v>30707712.000000004</v>
      </c>
      <c r="H36" s="43" t="s">
        <v>546</v>
      </c>
      <c r="I36" s="45">
        <f t="shared" si="1"/>
        <v>90.3168</v>
      </c>
    </row>
    <row r="37" spans="1:9" ht="12.75">
      <c r="A37" s="43" t="s">
        <v>547</v>
      </c>
      <c r="B37" s="45">
        <v>805.9</v>
      </c>
      <c r="C37" s="43" t="s">
        <v>615</v>
      </c>
      <c r="D37" s="43">
        <f>(1*Packages!F34)</f>
        <v>3080</v>
      </c>
      <c r="E37" s="45">
        <f t="shared" si="0"/>
        <v>2482172</v>
      </c>
      <c r="F37" s="52">
        <f>(E37*'Eco indicator Points'!B8)</f>
        <v>273038920</v>
      </c>
      <c r="G37" s="52">
        <f t="shared" si="2"/>
        <v>92833232.80000001</v>
      </c>
      <c r="H37" s="43" t="s">
        <v>547</v>
      </c>
      <c r="I37" s="45">
        <f t="shared" si="1"/>
        <v>273.03892</v>
      </c>
    </row>
    <row r="38" spans="1:9" ht="14.25">
      <c r="A38" s="43" t="s">
        <v>548</v>
      </c>
      <c r="B38" s="45">
        <v>1684.1</v>
      </c>
      <c r="C38" s="43" t="s">
        <v>91</v>
      </c>
      <c r="D38" s="43">
        <f>(1*Packages!F4)</f>
        <v>733.6</v>
      </c>
      <c r="E38" s="45">
        <f t="shared" si="0"/>
        <v>1235455.76</v>
      </c>
      <c r="F38" s="52">
        <f>(E38*'Eco indicator Points'!$B$7)</f>
        <v>1124264741.6</v>
      </c>
      <c r="G38" s="52">
        <f t="shared" si="2"/>
        <v>382250012.144</v>
      </c>
      <c r="H38" s="43" t="s">
        <v>548</v>
      </c>
      <c r="I38" s="45">
        <f t="shared" si="1"/>
        <v>1124.2647416</v>
      </c>
    </row>
    <row r="39" spans="1:9" ht="12.75">
      <c r="A39" s="48" t="s">
        <v>663</v>
      </c>
      <c r="B39" s="53">
        <v>646.2</v>
      </c>
      <c r="C39" s="48" t="s">
        <v>55</v>
      </c>
      <c r="D39" s="48">
        <f>(1*Packages!F3)</f>
        <v>135</v>
      </c>
      <c r="E39" s="53">
        <f t="shared" si="0"/>
        <v>87237</v>
      </c>
      <c r="F39" s="49">
        <f>(E39*'Eco indicator Points'!$B$7)</f>
        <v>79385670</v>
      </c>
      <c r="G39" s="49">
        <f t="shared" si="2"/>
        <v>26991127.8</v>
      </c>
      <c r="H39" s="48" t="s">
        <v>663</v>
      </c>
      <c r="I39" s="45">
        <f t="shared" si="1"/>
        <v>79.38567</v>
      </c>
    </row>
    <row r="40" spans="1:9" ht="12.75">
      <c r="A40" s="48" t="s">
        <v>662</v>
      </c>
      <c r="B40" s="53">
        <v>119.8</v>
      </c>
      <c r="C40" s="48" t="s">
        <v>56</v>
      </c>
      <c r="D40" s="48">
        <f>(1*Packages!F34)</f>
        <v>3080</v>
      </c>
      <c r="E40" s="53">
        <f t="shared" si="0"/>
        <v>368984</v>
      </c>
      <c r="F40" s="49">
        <f>(E40*'Eco indicator Points'!$B$8)</f>
        <v>40588240</v>
      </c>
      <c r="G40" s="49">
        <f t="shared" si="2"/>
        <v>13800001.600000001</v>
      </c>
      <c r="H40" s="48" t="s">
        <v>662</v>
      </c>
      <c r="I40" s="45">
        <f t="shared" si="1"/>
        <v>40.58824</v>
      </c>
    </row>
    <row r="41" spans="1:9" ht="12.75">
      <c r="A41" s="43" t="s">
        <v>549</v>
      </c>
      <c r="B41" s="45">
        <v>45705.8</v>
      </c>
      <c r="C41" s="43" t="s">
        <v>506</v>
      </c>
      <c r="D41" s="43">
        <f>(1*Packages!$F$4)</f>
        <v>733.6</v>
      </c>
      <c r="E41" s="45">
        <f t="shared" si="0"/>
        <v>33529774.880000003</v>
      </c>
      <c r="F41" s="52">
        <f>(E41*'Eco indicator Points'!$B$7)</f>
        <v>30512095140.800003</v>
      </c>
      <c r="G41" s="52">
        <f t="shared" si="2"/>
        <v>10374112347.872002</v>
      </c>
      <c r="H41" s="43" t="s">
        <v>549</v>
      </c>
      <c r="I41" s="45">
        <f t="shared" si="1"/>
        <v>30512.095140800004</v>
      </c>
    </row>
    <row r="42" spans="1:9" ht="12.75">
      <c r="A42" s="43" t="s">
        <v>550</v>
      </c>
      <c r="B42" s="45">
        <v>24790.4</v>
      </c>
      <c r="C42" s="43" t="s">
        <v>614</v>
      </c>
      <c r="D42" s="43">
        <f>(1*Packages!$F$4)</f>
        <v>733.6</v>
      </c>
      <c r="E42" s="45">
        <f t="shared" si="0"/>
        <v>18186237.44</v>
      </c>
      <c r="F42" s="52">
        <f>(E42*'Eco indicator Points'!$B$7)</f>
        <v>16549476070.400002</v>
      </c>
      <c r="G42" s="52">
        <f t="shared" si="2"/>
        <v>5626821863.936001</v>
      </c>
      <c r="H42" s="43" t="s">
        <v>550</v>
      </c>
      <c r="I42" s="45">
        <f t="shared" si="1"/>
        <v>16549.4760704</v>
      </c>
    </row>
    <row r="43" spans="1:9" ht="14.25">
      <c r="A43" s="43" t="s">
        <v>551</v>
      </c>
      <c r="B43" s="45">
        <v>264.1</v>
      </c>
      <c r="C43" s="43" t="s">
        <v>286</v>
      </c>
      <c r="D43" s="43">
        <f>(1*Packages!F3)</f>
        <v>135</v>
      </c>
      <c r="E43" s="45">
        <f t="shared" si="0"/>
        <v>35653.5</v>
      </c>
      <c r="F43" s="52">
        <f>(E43*'Eco indicator Points'!$B$7)</f>
        <v>32444685</v>
      </c>
      <c r="G43" s="52">
        <f t="shared" si="2"/>
        <v>11031192.9</v>
      </c>
      <c r="H43" s="43" t="s">
        <v>551</v>
      </c>
      <c r="I43" s="45">
        <f t="shared" si="1"/>
        <v>32.444685</v>
      </c>
    </row>
    <row r="44" spans="1:9" ht="12.75">
      <c r="A44" s="43" t="s">
        <v>552</v>
      </c>
      <c r="B44" s="45">
        <v>71.6</v>
      </c>
      <c r="C44" s="43" t="s">
        <v>507</v>
      </c>
      <c r="D44" s="43">
        <f>(1*Packages!F35)</f>
        <v>3000</v>
      </c>
      <c r="E44" s="45">
        <f t="shared" si="0"/>
        <v>214799.99999999997</v>
      </c>
      <c r="F44" s="200">
        <f>(E44*'Eco indicator Points'!$B$8)</f>
        <v>23627999.999999996</v>
      </c>
      <c r="G44" s="52">
        <f t="shared" si="2"/>
        <v>8033519.999999999</v>
      </c>
      <c r="H44" s="43" t="s">
        <v>552</v>
      </c>
      <c r="I44" s="45">
        <f t="shared" si="1"/>
        <v>23.627999999999997</v>
      </c>
    </row>
    <row r="45" spans="1:9" ht="14.25">
      <c r="A45" s="43" t="s">
        <v>553</v>
      </c>
      <c r="B45" s="45">
        <v>112</v>
      </c>
      <c r="C45" s="43" t="s">
        <v>90</v>
      </c>
      <c r="D45" s="43">
        <f>(1*Packages!F4)</f>
        <v>733.6</v>
      </c>
      <c r="E45" s="45">
        <f t="shared" si="0"/>
        <v>82163.2</v>
      </c>
      <c r="F45" s="52">
        <f>(E45*'Eco indicator Points'!$B$7)</f>
        <v>74768512</v>
      </c>
      <c r="G45" s="52">
        <f t="shared" si="2"/>
        <v>25421294.080000002</v>
      </c>
      <c r="H45" s="43" t="s">
        <v>553</v>
      </c>
      <c r="I45" s="45">
        <f t="shared" si="1"/>
        <v>74.768512</v>
      </c>
    </row>
    <row r="46" spans="1:9" ht="12.75">
      <c r="A46" s="120" t="s">
        <v>230</v>
      </c>
      <c r="B46" s="201">
        <f>SUM(B13:B45)-(B14+B16+B19+B25+B27+B29)</f>
        <v>224583.09999999995</v>
      </c>
      <c r="C46" s="120"/>
      <c r="D46" s="120"/>
      <c r="E46" s="202">
        <f>SUM(E13:E45)-(E14+E16+E19+E25+E27+E29)</f>
        <v>106001250.9</v>
      </c>
      <c r="F46" s="202">
        <f>SUM(F13:F45)</f>
        <v>93981098811</v>
      </c>
      <c r="G46" s="202">
        <f>SUM(G13:G45)</f>
        <v>31953573595.740005</v>
      </c>
      <c r="H46" s="43"/>
      <c r="I46" s="43"/>
    </row>
    <row r="47" spans="1:9" ht="51">
      <c r="A47" s="44" t="s">
        <v>605</v>
      </c>
      <c r="B47" s="44" t="s">
        <v>57</v>
      </c>
      <c r="C47" s="44" t="s">
        <v>440</v>
      </c>
      <c r="D47" s="44" t="s">
        <v>178</v>
      </c>
      <c r="E47" s="44" t="s">
        <v>225</v>
      </c>
      <c r="F47" s="44" t="s">
        <v>820</v>
      </c>
      <c r="G47" s="44" t="s">
        <v>722</v>
      </c>
      <c r="H47" s="44" t="s">
        <v>605</v>
      </c>
      <c r="I47" s="44" t="s">
        <v>852</v>
      </c>
    </row>
    <row r="48" spans="1:9" ht="12.75">
      <c r="A48" s="43" t="s">
        <v>236</v>
      </c>
      <c r="B48" s="45">
        <v>24800.3</v>
      </c>
      <c r="C48" s="43" t="s">
        <v>284</v>
      </c>
      <c r="D48" s="43">
        <f>(1*Packages!F6)</f>
        <v>4200</v>
      </c>
      <c r="E48" s="45">
        <f t="shared" si="0"/>
        <v>104161260</v>
      </c>
      <c r="F48" s="52">
        <f>(E48*'Eco indicator Points'!$B$7)</f>
        <v>94786746600</v>
      </c>
      <c r="G48" s="52">
        <f>(F48*$C$9)</f>
        <v>13849581982.585218</v>
      </c>
      <c r="H48" s="43" t="s">
        <v>236</v>
      </c>
      <c r="I48" s="45">
        <f>(F48/1000000)</f>
        <v>94786.7466</v>
      </c>
    </row>
    <row r="49" spans="1:9" ht="12.75">
      <c r="A49" s="43" t="s">
        <v>547</v>
      </c>
      <c r="B49" s="45">
        <v>33330.6</v>
      </c>
      <c r="C49" s="43" t="s">
        <v>507</v>
      </c>
      <c r="D49" s="43">
        <f>(1*Packages!F34)</f>
        <v>3080</v>
      </c>
      <c r="E49" s="45">
        <f t="shared" si="0"/>
        <v>102658248</v>
      </c>
      <c r="F49" s="200">
        <f>(E49*'Eco indicator Points'!$B$8)</f>
        <v>11292407280</v>
      </c>
      <c r="G49" s="52">
        <f aca="true" t="shared" si="3" ref="G49:G54">(F49*$C$9)</f>
        <v>1649968228.8399394</v>
      </c>
      <c r="H49" s="43" t="s">
        <v>547</v>
      </c>
      <c r="I49" s="45">
        <f aca="true" t="shared" si="4" ref="I49:I54">(F49/1000000)</f>
        <v>11292.40728</v>
      </c>
    </row>
    <row r="50" spans="1:9" ht="12.75">
      <c r="A50" s="48" t="s">
        <v>664</v>
      </c>
      <c r="B50" s="53">
        <v>1532.1</v>
      </c>
      <c r="C50" s="48" t="s">
        <v>56</v>
      </c>
      <c r="D50" s="48">
        <f>(1*Packages!F34)</f>
        <v>3080</v>
      </c>
      <c r="E50" s="53">
        <f t="shared" si="0"/>
        <v>4718868</v>
      </c>
      <c r="F50" s="49">
        <f>(E50*'Eco indicator Points'!$B$8)</f>
        <v>519075480</v>
      </c>
      <c r="G50" s="49">
        <f t="shared" si="3"/>
        <v>75843708.8862988</v>
      </c>
      <c r="H50" s="48" t="s">
        <v>664</v>
      </c>
      <c r="I50" s="45">
        <f t="shared" si="4"/>
        <v>519.07548</v>
      </c>
    </row>
    <row r="51" spans="1:9" ht="12.75">
      <c r="A51" s="43" t="s">
        <v>552</v>
      </c>
      <c r="B51" s="45">
        <v>1096.6</v>
      </c>
      <c r="C51" s="43" t="s">
        <v>507</v>
      </c>
      <c r="D51" s="43">
        <f>(1*Packages!F35)</f>
        <v>3000</v>
      </c>
      <c r="E51" s="45">
        <f t="shared" si="0"/>
        <v>3289799.9999999995</v>
      </c>
      <c r="F51" s="200">
        <f>(E51*'Eco indicator Points'!$B$8)</f>
        <v>361877999.99999994</v>
      </c>
      <c r="G51" s="52">
        <f t="shared" si="3"/>
        <v>52875103.413391896</v>
      </c>
      <c r="H51" s="43" t="s">
        <v>552</v>
      </c>
      <c r="I51" s="45">
        <f t="shared" si="4"/>
        <v>361.87799999999993</v>
      </c>
    </row>
    <row r="52" spans="1:9" ht="14.25">
      <c r="A52" s="43" t="s">
        <v>665</v>
      </c>
      <c r="B52" s="45">
        <v>604</v>
      </c>
      <c r="C52" s="43" t="s">
        <v>58</v>
      </c>
      <c r="D52" s="43">
        <f>(1*Packages!$F$34)</f>
        <v>3080</v>
      </c>
      <c r="E52" s="45">
        <f t="shared" si="0"/>
        <v>1860320</v>
      </c>
      <c r="F52" s="200">
        <f>(E52*'Eco indicator Points'!$B$8)</f>
        <v>204635200</v>
      </c>
      <c r="G52" s="52">
        <f t="shared" si="3"/>
        <v>29899876.096419606</v>
      </c>
      <c r="H52" s="43" t="s">
        <v>665</v>
      </c>
      <c r="I52" s="45">
        <f t="shared" si="4"/>
        <v>204.6352</v>
      </c>
    </row>
    <row r="53" spans="1:9" ht="14.25">
      <c r="A53" s="43" t="s">
        <v>666</v>
      </c>
      <c r="B53" s="45">
        <v>250</v>
      </c>
      <c r="C53" s="43" t="s">
        <v>58</v>
      </c>
      <c r="D53" s="43">
        <f>(1*Packages!$F$34)</f>
        <v>3080</v>
      </c>
      <c r="E53" s="45">
        <f t="shared" si="0"/>
        <v>770000</v>
      </c>
      <c r="F53" s="200">
        <f>(E53*'Eco indicator Points'!$B$8)</f>
        <v>84700000</v>
      </c>
      <c r="G53" s="52">
        <f t="shared" si="3"/>
        <v>12375776.529975003</v>
      </c>
      <c r="H53" s="43" t="s">
        <v>666</v>
      </c>
      <c r="I53" s="45">
        <f t="shared" si="4"/>
        <v>84.7</v>
      </c>
    </row>
    <row r="54" spans="1:9" ht="14.25">
      <c r="A54" s="43" t="s">
        <v>553</v>
      </c>
      <c r="B54" s="45">
        <v>3</v>
      </c>
      <c r="C54" s="43" t="s">
        <v>90</v>
      </c>
      <c r="D54" s="43">
        <f>(1*Packages!F4)</f>
        <v>733.6</v>
      </c>
      <c r="E54" s="45">
        <f t="shared" si="0"/>
        <v>2200.8</v>
      </c>
      <c r="F54" s="52">
        <f>(E54*'Eco indicator Points'!$B$7)</f>
        <v>2002728.0000000002</v>
      </c>
      <c r="G54" s="52">
        <f t="shared" si="3"/>
        <v>292624.7246555346</v>
      </c>
      <c r="H54" s="43" t="s">
        <v>553</v>
      </c>
      <c r="I54" s="45">
        <f t="shared" si="4"/>
        <v>2.0027280000000003</v>
      </c>
    </row>
    <row r="55" spans="1:9" ht="12.75">
      <c r="A55" s="120" t="s">
        <v>231</v>
      </c>
      <c r="B55" s="201">
        <f>SUM(B48:B54)</f>
        <v>61616.59999999999</v>
      </c>
      <c r="C55" s="43"/>
      <c r="D55" s="43"/>
      <c r="E55" s="202">
        <f>SUM(E22:E54)-(E23+E25+E28+E34+E36+E38)</f>
        <v>430492809.72</v>
      </c>
      <c r="F55" s="202">
        <f>SUM(F48:F54)</f>
        <v>107251445288</v>
      </c>
      <c r="G55" s="202">
        <f>SUM(G48:G54)</f>
        <v>15670837301.0759</v>
      </c>
      <c r="H55" s="43"/>
      <c r="I55" s="43"/>
    </row>
    <row r="56" spans="1:9" ht="51">
      <c r="A56" s="44" t="s">
        <v>612</v>
      </c>
      <c r="B56" s="44" t="s">
        <v>57</v>
      </c>
      <c r="C56" s="44" t="s">
        <v>440</v>
      </c>
      <c r="D56" s="44" t="s">
        <v>178</v>
      </c>
      <c r="E56" s="44" t="s">
        <v>225</v>
      </c>
      <c r="F56" s="44" t="s">
        <v>820</v>
      </c>
      <c r="G56" s="44" t="s">
        <v>722</v>
      </c>
      <c r="H56" s="44" t="s">
        <v>605</v>
      </c>
      <c r="I56" s="44" t="s">
        <v>659</v>
      </c>
    </row>
    <row r="57" spans="1:9" ht="14.25">
      <c r="A57" s="203" t="s">
        <v>222</v>
      </c>
      <c r="B57" s="45">
        <v>2421</v>
      </c>
      <c r="C57" s="43" t="s">
        <v>223</v>
      </c>
      <c r="D57" s="43">
        <v>100</v>
      </c>
      <c r="E57" s="45">
        <f t="shared" si="0"/>
        <v>242100</v>
      </c>
      <c r="F57" s="200">
        <f>(E57*'Eco indicator Points'!$B$8)</f>
        <v>26631000</v>
      </c>
      <c r="G57" s="52">
        <f>(F57*$D$9)</f>
        <v>10308156.238862848</v>
      </c>
      <c r="H57" s="203" t="s">
        <v>222</v>
      </c>
      <c r="I57" s="45">
        <f>(F57/1000000)</f>
        <v>26.631</v>
      </c>
    </row>
    <row r="58" spans="1:9" ht="12.75">
      <c r="A58" s="43" t="s">
        <v>668</v>
      </c>
      <c r="B58" s="45">
        <v>87</v>
      </c>
      <c r="C58" s="43" t="s">
        <v>615</v>
      </c>
      <c r="D58" s="43">
        <f>(1*Packages!F32)</f>
        <v>4800</v>
      </c>
      <c r="E58" s="45">
        <f t="shared" si="0"/>
        <v>417600</v>
      </c>
      <c r="F58" s="200">
        <f>(E58*'Eco indicator Points'!$B$8)</f>
        <v>45936000</v>
      </c>
      <c r="G58" s="52">
        <f>(F58*$D$9)</f>
        <v>17780611.50495302</v>
      </c>
      <c r="H58" s="43" t="s">
        <v>668</v>
      </c>
      <c r="I58" s="45">
        <f>(F58/1000000)</f>
        <v>45.936</v>
      </c>
    </row>
    <row r="59" spans="1:9" ht="14.25">
      <c r="A59" s="43" t="s">
        <v>669</v>
      </c>
      <c r="B59" s="45">
        <v>138.2</v>
      </c>
      <c r="C59" s="43" t="s">
        <v>88</v>
      </c>
      <c r="D59" s="43">
        <f>(1*Packages!F35)</f>
        <v>3000</v>
      </c>
      <c r="E59" s="45">
        <f t="shared" si="0"/>
        <v>414599.99999999994</v>
      </c>
      <c r="F59" s="200">
        <f>(E59*'Eco indicator Points'!$B$8)</f>
        <v>45605999.99999999</v>
      </c>
      <c r="G59" s="52">
        <f>(F59*$D$9)</f>
        <v>17652877.22690019</v>
      </c>
      <c r="H59" s="43" t="s">
        <v>669</v>
      </c>
      <c r="I59" s="45">
        <f>(F59/1000000)</f>
        <v>45.605999999999995</v>
      </c>
    </row>
    <row r="60" spans="1:9" ht="63.75">
      <c r="A60" s="120" t="s">
        <v>232</v>
      </c>
      <c r="B60" s="201">
        <f>SUM(B57:B59)</f>
        <v>2646.2</v>
      </c>
      <c r="C60" s="43"/>
      <c r="D60" s="43"/>
      <c r="E60" s="202">
        <f>SUM(E27:E59)-(E28+E30+E33+E39+E41+E43)</f>
        <v>802824879.12</v>
      </c>
      <c r="F60" s="202">
        <f>SUM(F57:F59)</f>
        <v>118173000</v>
      </c>
      <c r="G60" s="202">
        <f>SUM(G57:G59)</f>
        <v>45741644.97071606</v>
      </c>
      <c r="H60" s="84" t="s">
        <v>102</v>
      </c>
      <c r="I60" s="45">
        <f>(F62/1000000)</f>
        <v>172705.539354642</v>
      </c>
    </row>
    <row r="61" spans="1:9" ht="51">
      <c r="A61" s="204" t="s">
        <v>233</v>
      </c>
      <c r="B61" s="201">
        <f>(B60+B55+B46)</f>
        <v>288845.8999999999</v>
      </c>
      <c r="C61" s="120"/>
      <c r="D61" s="120"/>
      <c r="E61" s="202">
        <f>(E60+E55+E46)</f>
        <v>1339318939.7400002</v>
      </c>
      <c r="F61" s="202">
        <f>(F60+F55+F46)</f>
        <v>201350717099</v>
      </c>
      <c r="G61" s="202">
        <f>(G60+G55+G46)</f>
        <v>47670152541.78662</v>
      </c>
      <c r="H61" s="84" t="s">
        <v>784</v>
      </c>
      <c r="I61" s="45">
        <f>(F63/1000000)</f>
        <v>46896.69322879703</v>
      </c>
    </row>
    <row r="62" spans="1:9" ht="89.25">
      <c r="A62" s="84" t="s">
        <v>102</v>
      </c>
      <c r="B62" s="85">
        <f>(1*Packages!B98)</f>
        <v>15700503.577694729</v>
      </c>
      <c r="C62" s="83" t="s">
        <v>103</v>
      </c>
      <c r="D62" s="83">
        <f>(1*D57)</f>
        <v>100</v>
      </c>
      <c r="E62" s="205">
        <f>(D62*B62)</f>
        <v>1570050357.7694728</v>
      </c>
      <c r="F62" s="205">
        <f>(E62*'Eco indicator Points'!$B$8)</f>
        <v>172705539354.642</v>
      </c>
      <c r="G62" s="205">
        <f>(F62*$D$9)</f>
        <v>66849749652.0869</v>
      </c>
      <c r="H62" s="84" t="s">
        <v>785</v>
      </c>
      <c r="I62" s="45">
        <f>(F64/1000000)</f>
        <v>40890.013674543814</v>
      </c>
    </row>
    <row r="63" spans="1:9" ht="25.5">
      <c r="A63" s="84" t="s">
        <v>784</v>
      </c>
      <c r="B63" s="85">
        <f>(1*Packages!B99)</f>
        <v>88819.49475150953</v>
      </c>
      <c r="C63" s="83" t="s">
        <v>357</v>
      </c>
      <c r="D63" s="83">
        <f>(1*D58)</f>
        <v>4800</v>
      </c>
      <c r="E63" s="205">
        <f>(D63*B63)</f>
        <v>426333574.80724573</v>
      </c>
      <c r="F63" s="205">
        <f>(E63*'Eco indicator Points'!$B$8)</f>
        <v>46896693228.79703</v>
      </c>
      <c r="G63" s="205">
        <f>(F63*$D$9)</f>
        <v>18152470462.56097</v>
      </c>
      <c r="H63" s="43"/>
      <c r="I63" s="43"/>
    </row>
    <row r="64" spans="1:9" ht="38.25">
      <c r="A64" s="84" t="s">
        <v>785</v>
      </c>
      <c r="B64" s="85">
        <f>(1*Packages!B100)</f>
        <v>123909.13234710247</v>
      </c>
      <c r="C64" s="83" t="s">
        <v>104</v>
      </c>
      <c r="D64" s="83">
        <f>(1*D59)</f>
        <v>3000</v>
      </c>
      <c r="E64" s="205">
        <f>(D64*B64)</f>
        <v>371727397.0413074</v>
      </c>
      <c r="F64" s="205">
        <f>(E64*'Eco indicator Points'!$B$8)</f>
        <v>40890013674.543816</v>
      </c>
      <c r="G64" s="205">
        <f>(F64*$D$9)</f>
        <v>15827443564.50888</v>
      </c>
      <c r="H64" s="43"/>
      <c r="I64" s="43"/>
    </row>
    <row r="65" ht="22.5">
      <c r="A65" s="14" t="s">
        <v>92</v>
      </c>
    </row>
    <row r="66" ht="12.75">
      <c r="A66" s="15" t="s">
        <v>51</v>
      </c>
    </row>
    <row r="67" ht="22.5">
      <c r="A67" s="15" t="s">
        <v>220</v>
      </c>
    </row>
    <row r="68" ht="22.5">
      <c r="A68" s="15" t="s">
        <v>89</v>
      </c>
    </row>
    <row r="69" ht="12.75">
      <c r="A69" s="15" t="s">
        <v>59</v>
      </c>
    </row>
    <row r="70" ht="22.5">
      <c r="A70" s="15" t="s">
        <v>180</v>
      </c>
    </row>
    <row r="71" ht="12.75">
      <c r="A71" s="15" t="s">
        <v>80</v>
      </c>
    </row>
    <row r="72" ht="12.75">
      <c r="A72" s="15" t="s">
        <v>1397</v>
      </c>
    </row>
    <row r="73" ht="12.75">
      <c r="A73" s="15" t="s">
        <v>86</v>
      </c>
    </row>
    <row r="74" ht="22.5">
      <c r="A74" s="15" t="s">
        <v>87</v>
      </c>
    </row>
    <row r="75" spans="1:2" ht="22.5">
      <c r="A75" s="15" t="s">
        <v>221</v>
      </c>
      <c r="B75" s="10">
        <v>1240</v>
      </c>
    </row>
    <row r="76" ht="22.5">
      <c r="A76" s="15" t="s">
        <v>224</v>
      </c>
    </row>
    <row r="77" ht="20.25">
      <c r="A77" s="31" t="s">
        <v>106</v>
      </c>
    </row>
    <row r="79" ht="20.25">
      <c r="A79" s="31" t="s">
        <v>107</v>
      </c>
    </row>
    <row r="80" spans="1:10" ht="48.75" customHeight="1">
      <c r="A80" s="44" t="s">
        <v>108</v>
      </c>
      <c r="B80" s="44" t="s">
        <v>109</v>
      </c>
      <c r="C80" s="44" t="s">
        <v>820</v>
      </c>
      <c r="D80" s="44" t="s">
        <v>820</v>
      </c>
      <c r="E80" s="44" t="s">
        <v>126</v>
      </c>
      <c r="F80" s="43"/>
      <c r="G80" s="44" t="s">
        <v>108</v>
      </c>
      <c r="H80" s="44" t="s">
        <v>655</v>
      </c>
      <c r="I80" s="44" t="s">
        <v>657</v>
      </c>
      <c r="J80" s="44" t="s">
        <v>655</v>
      </c>
    </row>
    <row r="81" spans="1:10" ht="25.5">
      <c r="A81" s="43" t="s">
        <v>350</v>
      </c>
      <c r="B81" s="43">
        <f>(1*'Rad Metals for SimaPro'!$D$44)</f>
        <v>1200000</v>
      </c>
      <c r="C81" s="52">
        <f>(B81*'Eco indicator Points'!$B$12)</f>
        <v>72000000</v>
      </c>
      <c r="D81" s="52">
        <f>(B81*'Eco indicator Points'!$B$13)</f>
        <v>936000000</v>
      </c>
      <c r="E81" s="55" t="s">
        <v>728</v>
      </c>
      <c r="F81" s="43"/>
      <c r="G81" s="43" t="s">
        <v>350</v>
      </c>
      <c r="H81" s="45">
        <f>(B81*'Eco indicator Points'!$B$12)/1000000</f>
        <v>72</v>
      </c>
      <c r="I81" s="43" t="s">
        <v>656</v>
      </c>
      <c r="J81" s="45">
        <f>(H83+H82+H81)</f>
        <v>1092</v>
      </c>
    </row>
    <row r="82" spans="1:10" ht="12.75">
      <c r="A82" s="43" t="s">
        <v>351</v>
      </c>
      <c r="B82" s="43">
        <f>(1*'Rad Metals for SimaPro'!$D$45)</f>
        <v>2352660</v>
      </c>
      <c r="C82" s="52">
        <f>(B82*'Eco indicator Points'!$B$12)</f>
        <v>141159600</v>
      </c>
      <c r="D82" s="52">
        <f>(B82*'Eco indicator Points'!$B$13)</f>
        <v>1835074800</v>
      </c>
      <c r="E82" s="55" t="s">
        <v>61</v>
      </c>
      <c r="F82" s="43"/>
      <c r="G82" s="43" t="s">
        <v>351</v>
      </c>
      <c r="H82" s="45">
        <f>(B82*'Eco indicator Points'!$B$12)/1000000</f>
        <v>141.1596</v>
      </c>
      <c r="I82" s="43" t="s">
        <v>198</v>
      </c>
      <c r="J82" s="45">
        <f>(H87+H86+H85)</f>
        <v>8608.6</v>
      </c>
    </row>
    <row r="83" spans="1:10" ht="12.75">
      <c r="A83" s="43" t="s">
        <v>352</v>
      </c>
      <c r="B83" s="43">
        <f>(1*'Rad Metals for SimaPro'!$D$46)</f>
        <v>14647340</v>
      </c>
      <c r="C83" s="52">
        <f>(B83*'Eco indicator Points'!$B$12)</f>
        <v>878840400</v>
      </c>
      <c r="D83" s="52">
        <f>(B83*'Eco indicator Points'!$B$13)</f>
        <v>11424925200</v>
      </c>
      <c r="E83" s="55" t="s">
        <v>61</v>
      </c>
      <c r="F83" s="43"/>
      <c r="G83" s="43" t="s">
        <v>352</v>
      </c>
      <c r="H83" s="45">
        <f>(B83*'Eco indicator Points'!$B$12)/1000000</f>
        <v>878.8404</v>
      </c>
      <c r="I83" s="43" t="s">
        <v>1032</v>
      </c>
      <c r="J83" s="45">
        <f>(H99+H98+H97)</f>
        <v>15392.59476</v>
      </c>
    </row>
    <row r="84" spans="1:10" ht="12.75">
      <c r="A84" s="120" t="s">
        <v>110</v>
      </c>
      <c r="B84" s="120"/>
      <c r="C84" s="202">
        <f>SUM(C81:C83)</f>
        <v>1092000000</v>
      </c>
      <c r="D84" s="202">
        <f>SUM(D81:D83)</f>
        <v>14196000000</v>
      </c>
      <c r="E84" s="43"/>
      <c r="F84" s="43"/>
      <c r="G84" s="120"/>
      <c r="H84" s="201"/>
      <c r="I84" s="119" t="s">
        <v>199</v>
      </c>
      <c r="J84" s="206">
        <f>(H91+H90+H89)</f>
        <v>7041.280000000001</v>
      </c>
    </row>
    <row r="85" spans="1:10" ht="12.75">
      <c r="A85" s="43" t="s">
        <v>113</v>
      </c>
      <c r="B85" s="43">
        <f>(1*'Rad Metals for SimaPro'!D47)</f>
        <v>405000</v>
      </c>
      <c r="C85" s="52">
        <f>(B85*'Eco indicator Points'!$B$14)</f>
        <v>567000000</v>
      </c>
      <c r="D85" s="43"/>
      <c r="E85" s="43"/>
      <c r="F85" s="43"/>
      <c r="G85" s="43" t="s">
        <v>113</v>
      </c>
      <c r="H85" s="45">
        <f>(B85*'Eco indicator Points'!$B$14)/1000000</f>
        <v>567</v>
      </c>
      <c r="I85" s="43" t="s">
        <v>1031</v>
      </c>
      <c r="J85" s="45">
        <f>(H93+H94+H95)</f>
        <v>5591.04</v>
      </c>
    </row>
    <row r="86" spans="1:10" ht="12.75">
      <c r="A86" s="43" t="s">
        <v>114</v>
      </c>
      <c r="B86" s="43">
        <f>(1*'Rad Metals for SimaPro'!D48)</f>
        <v>3875460</v>
      </c>
      <c r="C86" s="52">
        <f>(B86*'Eco indicator Points'!$B$14)</f>
        <v>5425644000</v>
      </c>
      <c r="D86" s="43"/>
      <c r="E86" s="43"/>
      <c r="F86" s="43"/>
      <c r="G86" s="43" t="s">
        <v>114</v>
      </c>
      <c r="H86" s="45">
        <f>(B86*'Eco indicator Points'!$B$14)/1000000</f>
        <v>5425.644</v>
      </c>
      <c r="I86" s="43" t="s">
        <v>284</v>
      </c>
      <c r="J86" s="45">
        <f>(H104+H103+H102+H101)</f>
        <v>145600</v>
      </c>
    </row>
    <row r="87" spans="1:10" ht="12.75">
      <c r="A87" s="43" t="s">
        <v>115</v>
      </c>
      <c r="B87" s="43">
        <f>(1*'Rad Metals for SimaPro'!D49)</f>
        <v>1868540</v>
      </c>
      <c r="C87" s="52">
        <f>(B87*'Eco indicator Points'!$B$14)</f>
        <v>2615956000</v>
      </c>
      <c r="D87" s="43"/>
      <c r="E87" s="43"/>
      <c r="F87" s="43"/>
      <c r="G87" s="43" t="s">
        <v>115</v>
      </c>
      <c r="H87" s="45">
        <f>(B87*'Eco indicator Points'!$B$14)/1000/1000</f>
        <v>2615.956</v>
      </c>
      <c r="I87" s="43" t="s">
        <v>850</v>
      </c>
      <c r="J87" s="45">
        <f>(H109+H108+H107+H106)</f>
        <v>41194</v>
      </c>
    </row>
    <row r="88" spans="1:10" ht="12.75">
      <c r="A88" s="120" t="s">
        <v>1435</v>
      </c>
      <c r="B88" s="120"/>
      <c r="C88" s="202">
        <f>SUM(C85:C87)</f>
        <v>8608600000</v>
      </c>
      <c r="D88" s="43"/>
      <c r="E88" s="43"/>
      <c r="F88" s="43"/>
      <c r="G88" s="120"/>
      <c r="H88" s="201"/>
      <c r="I88" s="43" t="s">
        <v>658</v>
      </c>
      <c r="J88" s="45">
        <f>(H113+H112+H111)</f>
        <v>48154.687999999995</v>
      </c>
    </row>
    <row r="89" spans="1:10" ht="12.75">
      <c r="A89" s="43" t="s">
        <v>136</v>
      </c>
      <c r="B89" s="43">
        <f>(1*'Rad Metals for SimaPro'!D53)</f>
        <v>822000</v>
      </c>
      <c r="C89" s="52">
        <f>(B89*'Eco indicator Points'!$B$15)</f>
        <v>526080000</v>
      </c>
      <c r="D89" s="43"/>
      <c r="E89" s="43"/>
      <c r="F89" s="43"/>
      <c r="G89" s="43" t="s">
        <v>136</v>
      </c>
      <c r="H89" s="45">
        <f>(B89*'Eco indicator Points'!$B$15)/1000000</f>
        <v>526.08</v>
      </c>
      <c r="I89" s="43"/>
      <c r="J89" s="52"/>
    </row>
    <row r="90" spans="1:10" ht="12.75">
      <c r="A90" s="43" t="s">
        <v>137</v>
      </c>
      <c r="B90" s="43">
        <f>(1*'Rad Metals for SimaPro'!D54)</f>
        <v>6485920</v>
      </c>
      <c r="C90" s="52">
        <f>(B90*'Eco indicator Points'!$B$15)</f>
        <v>4150988800</v>
      </c>
      <c r="D90" s="43"/>
      <c r="E90" s="43"/>
      <c r="F90" s="43"/>
      <c r="G90" s="43" t="s">
        <v>137</v>
      </c>
      <c r="H90" s="45">
        <f>(B90*'Eco indicator Points'!$B$15)/1000000</f>
        <v>4150.9888</v>
      </c>
      <c r="I90" s="43"/>
      <c r="J90" s="52"/>
    </row>
    <row r="91" spans="1:10" ht="12.75">
      <c r="A91" s="169" t="s">
        <v>1436</v>
      </c>
      <c r="B91" s="169">
        <f>(1*'Rad Metals for SimaPro'!D55)</f>
        <v>3694080</v>
      </c>
      <c r="C91" s="200">
        <f>(B91*'Eco indicator Points'!$B$15)</f>
        <v>2364211200</v>
      </c>
      <c r="D91" s="43"/>
      <c r="E91" s="43"/>
      <c r="F91" s="43"/>
      <c r="G91" s="169" t="s">
        <v>1436</v>
      </c>
      <c r="H91" s="207">
        <f>(B91*'Eco indicator Points'!$B$15)/1000000</f>
        <v>2364.2112</v>
      </c>
      <c r="I91" s="169"/>
      <c r="J91" s="200"/>
    </row>
    <row r="92" spans="1:10" ht="12.75">
      <c r="A92" s="120" t="s">
        <v>1437</v>
      </c>
      <c r="B92" s="120"/>
      <c r="C92" s="202">
        <f>SUM(C89:C91)</f>
        <v>7041280000</v>
      </c>
      <c r="D92" s="43"/>
      <c r="E92" s="43"/>
      <c r="F92" s="43"/>
      <c r="G92" s="120"/>
      <c r="H92" s="201"/>
      <c r="I92" s="120"/>
      <c r="J92" s="202"/>
    </row>
    <row r="93" spans="1:10" ht="12.75">
      <c r="A93" s="43" t="s">
        <v>139</v>
      </c>
      <c r="B93" s="43">
        <f>(1*'Rad Metals for SimaPro'!D56)</f>
        <v>3102000</v>
      </c>
      <c r="C93" s="52">
        <f>(B93*'Eco indicator Points'!$B$16)</f>
        <v>1613040000</v>
      </c>
      <c r="D93" s="43"/>
      <c r="E93" s="43"/>
      <c r="F93" s="43"/>
      <c r="G93" s="43" t="s">
        <v>139</v>
      </c>
      <c r="H93" s="45">
        <f>(B93*'Eco indicator Points'!$B$16)/1000000</f>
        <v>1613.04</v>
      </c>
      <c r="I93" s="43"/>
      <c r="J93" s="52"/>
    </row>
    <row r="94" spans="1:10" ht="12.75">
      <c r="A94" s="43" t="s">
        <v>140</v>
      </c>
      <c r="B94" s="43">
        <f>(1*'Rad Metals for SimaPro'!D57)</f>
        <v>7650000</v>
      </c>
      <c r="C94" s="52">
        <f>(B94*'Eco indicator Points'!$B$16)</f>
        <v>3978000000</v>
      </c>
      <c r="D94" s="43"/>
      <c r="E94" s="43"/>
      <c r="F94" s="43"/>
      <c r="G94" s="43" t="s">
        <v>140</v>
      </c>
      <c r="H94" s="45">
        <f>(B94*'Eco indicator Points'!$B$16)/1000000</f>
        <v>3978</v>
      </c>
      <c r="I94" s="43"/>
      <c r="J94" s="52"/>
    </row>
    <row r="95" spans="1:10" ht="12.75">
      <c r="A95" s="43" t="s">
        <v>141</v>
      </c>
      <c r="B95" s="43">
        <f>(1*'Rad Metals for SimaPro'!D58)</f>
        <v>0</v>
      </c>
      <c r="C95" s="52">
        <f>(B95*'Eco indicator Points'!$B$16)</f>
        <v>0</v>
      </c>
      <c r="D95" s="43"/>
      <c r="E95" s="43"/>
      <c r="F95" s="43"/>
      <c r="G95" s="43" t="s">
        <v>141</v>
      </c>
      <c r="H95" s="45">
        <f>(B95*'Eco indicator Points'!$B$16)/1000000</f>
        <v>0</v>
      </c>
      <c r="I95" s="43"/>
      <c r="J95" s="52"/>
    </row>
    <row r="96" spans="1:10" ht="12.75">
      <c r="A96" s="120" t="s">
        <v>1438</v>
      </c>
      <c r="B96" s="43"/>
      <c r="C96" s="202">
        <f>SUM(C93:C95)</f>
        <v>5591040000</v>
      </c>
      <c r="D96" s="43"/>
      <c r="E96" s="43"/>
      <c r="F96" s="43"/>
      <c r="G96" s="43"/>
      <c r="H96" s="45"/>
      <c r="I96" s="43"/>
      <c r="J96" s="52"/>
    </row>
    <row r="97" spans="1:10" ht="38.25">
      <c r="A97" s="55" t="s">
        <v>1061</v>
      </c>
      <c r="B97" s="55">
        <f>(1*'Rad Metals for SimaPro'!D50)</f>
        <v>7423000</v>
      </c>
      <c r="C97" s="58">
        <f>(B97*'Eco indicator Points'!$B$6)</f>
        <v>638378000</v>
      </c>
      <c r="D97" s="55"/>
      <c r="E97" s="55" t="s">
        <v>729</v>
      </c>
      <c r="F97" s="43"/>
      <c r="G97" s="55" t="s">
        <v>1061</v>
      </c>
      <c r="H97" s="57">
        <f>(B97*'Eco indicator Points'!$B$6)/1000000</f>
        <v>638.378</v>
      </c>
      <c r="I97" s="43"/>
      <c r="J97" s="52"/>
    </row>
    <row r="98" spans="1:10" ht="12.75">
      <c r="A98" s="55" t="s">
        <v>1064</v>
      </c>
      <c r="B98" s="55">
        <f>(1*'Rad Metals for SimaPro'!D51)</f>
        <v>171560660</v>
      </c>
      <c r="C98" s="58">
        <f>(B98*'Eco indicator Points'!$B$6)</f>
        <v>14754216760</v>
      </c>
      <c r="D98" s="55"/>
      <c r="E98" s="55" t="s">
        <v>61</v>
      </c>
      <c r="F98" s="43"/>
      <c r="G98" s="55" t="s">
        <v>1062</v>
      </c>
      <c r="H98" s="57">
        <f>(B98*'Eco indicator Points'!$B$6)/1000000</f>
        <v>14754.21676</v>
      </c>
      <c r="I98" s="43"/>
      <c r="J98" s="52"/>
    </row>
    <row r="99" spans="1:10" ht="25.5">
      <c r="A99" s="55" t="s">
        <v>1063</v>
      </c>
      <c r="B99" s="55">
        <f>(1*'Rad Metals for SimaPro'!D52)</f>
        <v>0</v>
      </c>
      <c r="C99" s="58">
        <f>(B99*'Eco indicator Points'!$B$6)</f>
        <v>0</v>
      </c>
      <c r="D99" s="55"/>
      <c r="E99" s="55" t="s">
        <v>61</v>
      </c>
      <c r="F99" s="43"/>
      <c r="G99" s="55" t="s">
        <v>1063</v>
      </c>
      <c r="H99" s="57">
        <f>(B99*'Eco indicator Points'!$B$6)/1000000</f>
        <v>0</v>
      </c>
      <c r="I99" s="120"/>
      <c r="J99" s="202"/>
    </row>
    <row r="100" spans="1:10" ht="12.75">
      <c r="A100" s="120" t="s">
        <v>127</v>
      </c>
      <c r="B100" s="43"/>
      <c r="C100" s="202">
        <f>SUM(C97:C99)</f>
        <v>15392594760</v>
      </c>
      <c r="D100" s="43"/>
      <c r="E100" s="55"/>
      <c r="F100" s="43"/>
      <c r="G100" s="55"/>
      <c r="H100" s="57"/>
      <c r="I100" s="120"/>
      <c r="J100" s="202"/>
    </row>
    <row r="101" spans="1:10" ht="12.75">
      <c r="A101" s="43" t="s">
        <v>119</v>
      </c>
      <c r="B101" s="43">
        <f>(1*'Rad Metals for SimaPro'!D59)</f>
        <v>40000000</v>
      </c>
      <c r="C101" s="52">
        <f>(B101*'Eco indicator Points'!$B$7)</f>
        <v>36400000000</v>
      </c>
      <c r="D101" s="43"/>
      <c r="E101" s="43"/>
      <c r="F101" s="43"/>
      <c r="G101" s="43" t="s">
        <v>119</v>
      </c>
      <c r="H101" s="45">
        <f>(B101*'Eco indicator Points'!$B$7)/1000000</f>
        <v>36400</v>
      </c>
      <c r="I101" s="43"/>
      <c r="J101" s="52"/>
    </row>
    <row r="102" spans="1:10" ht="12.75">
      <c r="A102" s="43" t="s">
        <v>1065</v>
      </c>
      <c r="B102" s="43">
        <f>(1*'Rad Metals for SimaPro'!D60)</f>
        <v>59402160</v>
      </c>
      <c r="C102" s="52">
        <f>(B102*'Eco indicator Points'!$B$7)</f>
        <v>54055965600</v>
      </c>
      <c r="D102" s="43"/>
      <c r="E102" s="43"/>
      <c r="F102" s="43"/>
      <c r="G102" s="43" t="s">
        <v>1065</v>
      </c>
      <c r="H102" s="45">
        <f>(B102*'Eco indicator Points'!$B$7)/1000000</f>
        <v>54055.9656</v>
      </c>
      <c r="I102" s="43"/>
      <c r="J102" s="52"/>
    </row>
    <row r="103" spans="1:10" ht="12.75">
      <c r="A103" s="43" t="s">
        <v>1066</v>
      </c>
      <c r="B103" s="43">
        <f>(1*'Rad Metals for SimaPro'!D61)</f>
        <v>23999999.999999996</v>
      </c>
      <c r="C103" s="52">
        <f>(B103*'Eco indicator Points'!$B$7)</f>
        <v>21839999999.999996</v>
      </c>
      <c r="D103" s="43"/>
      <c r="E103" s="43"/>
      <c r="F103" s="43"/>
      <c r="G103" s="43" t="s">
        <v>1066</v>
      </c>
      <c r="H103" s="45">
        <f>(B103*'Eco indicator Points'!$B$7)/1000000</f>
        <v>21839.999999999996</v>
      </c>
      <c r="I103" s="43"/>
      <c r="J103" s="52"/>
    </row>
    <row r="104" spans="1:10" ht="12.75">
      <c r="A104" s="43" t="s">
        <v>131</v>
      </c>
      <c r="B104" s="43">
        <f>(1*'Rad Metals for SimaPro'!D62)</f>
        <v>36597840</v>
      </c>
      <c r="C104" s="52">
        <f>(B104*'Eco indicator Points'!$B$7)</f>
        <v>33304034400</v>
      </c>
      <c r="D104" s="43"/>
      <c r="E104" s="43"/>
      <c r="F104" s="43"/>
      <c r="G104" s="43" t="s">
        <v>131</v>
      </c>
      <c r="H104" s="45">
        <f>(B104*'Eco indicator Points'!$B$7)/1000000</f>
        <v>33304.0344</v>
      </c>
      <c r="I104" s="43"/>
      <c r="J104" s="52"/>
    </row>
    <row r="105" spans="1:10" ht="12.75">
      <c r="A105" s="120" t="s">
        <v>123</v>
      </c>
      <c r="B105" s="43"/>
      <c r="C105" s="202">
        <f>SUM(C101:C104)</f>
        <v>145600000000</v>
      </c>
      <c r="D105" s="43"/>
      <c r="E105" s="43"/>
      <c r="F105" s="43"/>
      <c r="G105" s="120"/>
      <c r="H105" s="201"/>
      <c r="I105" s="120"/>
      <c r="J105" s="202"/>
    </row>
    <row r="106" spans="1:10" ht="38.25">
      <c r="A106" s="43" t="s">
        <v>132</v>
      </c>
      <c r="B106" s="43">
        <f>(1*'Rad Metals for SimaPro'!D63)</f>
        <v>49000000</v>
      </c>
      <c r="C106" s="52">
        <f>(B106*'Eco indicator Points'!$B$6)</f>
        <v>4214000000</v>
      </c>
      <c r="D106" s="52">
        <f>(B106*'Eco indicator Points'!$B$8)</f>
        <v>5390000000</v>
      </c>
      <c r="E106" s="55" t="s">
        <v>730</v>
      </c>
      <c r="F106" s="43"/>
      <c r="G106" s="43" t="s">
        <v>132</v>
      </c>
      <c r="H106" s="45">
        <f>(B106*'Eco indicator Points'!$B$6)/1000000</f>
        <v>4214</v>
      </c>
      <c r="I106" s="43"/>
      <c r="J106" s="52"/>
    </row>
    <row r="107" spans="1:10" ht="12.75">
      <c r="A107" s="43" t="s">
        <v>1067</v>
      </c>
      <c r="B107" s="43">
        <f>(1*'Rad Metals for SimaPro'!D64)</f>
        <v>270232820</v>
      </c>
      <c r="C107" s="52">
        <f>(B107*'Eco indicator Points'!$B$6)</f>
        <v>23240022520</v>
      </c>
      <c r="D107" s="52">
        <f>(B107*'Eco indicator Points'!$B$8)</f>
        <v>29725610200</v>
      </c>
      <c r="E107" s="55" t="s">
        <v>61</v>
      </c>
      <c r="F107" s="43"/>
      <c r="G107" s="43" t="s">
        <v>1067</v>
      </c>
      <c r="H107" s="45">
        <f>(B107*'Eco indicator Points'!$B$6)/1000000</f>
        <v>23240.02252</v>
      </c>
      <c r="I107" s="43"/>
      <c r="J107" s="52"/>
    </row>
    <row r="108" spans="1:10" ht="12.75">
      <c r="A108" s="43" t="s">
        <v>134</v>
      </c>
      <c r="B108" s="43">
        <f>(1*'Rad Metals for SimaPro'!D65)</f>
        <v>85999999.99999999</v>
      </c>
      <c r="C108" s="52">
        <f>(B108*'Eco indicator Points'!$B$6)</f>
        <v>7395999999.999999</v>
      </c>
      <c r="D108" s="52">
        <f>(B108*'Eco indicator Points'!$B$8)</f>
        <v>9459999999.999998</v>
      </c>
      <c r="E108" s="55" t="s">
        <v>61</v>
      </c>
      <c r="F108" s="43"/>
      <c r="G108" s="43" t="s">
        <v>849</v>
      </c>
      <c r="H108" s="45">
        <f>(B108*'Eco indicator Points'!$B$6)/1000000</f>
        <v>7395.999999999999</v>
      </c>
      <c r="I108" s="43"/>
      <c r="J108" s="52"/>
    </row>
    <row r="109" spans="1:10" ht="12.75">
      <c r="A109" s="43" t="s">
        <v>135</v>
      </c>
      <c r="B109" s="43">
        <f>(1*'Rad Metals for SimaPro'!D66)</f>
        <v>73767180</v>
      </c>
      <c r="C109" s="52">
        <f>(B109*'Eco indicator Points'!$B$6)</f>
        <v>6343977480</v>
      </c>
      <c r="D109" s="52">
        <f>(B109*'Eco indicator Points'!$B$8)</f>
        <v>8114389800</v>
      </c>
      <c r="E109" s="55" t="s">
        <v>61</v>
      </c>
      <c r="F109" s="43"/>
      <c r="G109" s="43" t="s">
        <v>135</v>
      </c>
      <c r="H109" s="45">
        <f>(B109*'Eco indicator Points'!$B$6)/1000000</f>
        <v>6343.97748</v>
      </c>
      <c r="I109" s="43"/>
      <c r="J109" s="52"/>
    </row>
    <row r="110" spans="1:10" ht="12.75">
      <c r="A110" s="120" t="s">
        <v>124</v>
      </c>
      <c r="B110" s="43"/>
      <c r="C110" s="202">
        <f>SUM(C106:C109)</f>
        <v>41194000000</v>
      </c>
      <c r="D110" s="202">
        <f>SUM(D106:D109)</f>
        <v>52690000000</v>
      </c>
      <c r="E110" s="55"/>
      <c r="F110" s="43"/>
      <c r="G110" s="120"/>
      <c r="H110" s="201"/>
      <c r="I110" s="120"/>
      <c r="J110" s="202"/>
    </row>
    <row r="111" spans="1:10" ht="12.75">
      <c r="A111" s="43" t="s">
        <v>341</v>
      </c>
      <c r="B111" s="43">
        <f>(1*'Rad Metals for SimaPro'!D67)</f>
        <v>48000</v>
      </c>
      <c r="C111" s="52">
        <f>(B111*'Eco indicator Points'!$B$17)</f>
        <v>153600000</v>
      </c>
      <c r="D111" s="43"/>
      <c r="E111" s="43"/>
      <c r="F111" s="43"/>
      <c r="G111" s="43" t="s">
        <v>341</v>
      </c>
      <c r="H111" s="45">
        <f>(B111*'Eco indicator Points'!$B$17)/1000000</f>
        <v>153.6</v>
      </c>
      <c r="I111" s="43"/>
      <c r="J111" s="52"/>
    </row>
    <row r="112" spans="1:10" ht="12.75">
      <c r="A112" s="43" t="s">
        <v>342</v>
      </c>
      <c r="B112" s="43">
        <f>(1*'Rad Metals for SimaPro'!D68)</f>
        <v>353000</v>
      </c>
      <c r="C112" s="52">
        <f>(B112*'Eco indicator Points'!$B$17)</f>
        <v>1129600000</v>
      </c>
      <c r="D112" s="43"/>
      <c r="E112" s="43"/>
      <c r="F112" s="43"/>
      <c r="G112" s="43" t="s">
        <v>342</v>
      </c>
      <c r="H112" s="45">
        <f>(B112*'Eco indicator Points'!$B$17)/1000000</f>
        <v>1129.6</v>
      </c>
      <c r="I112" s="43"/>
      <c r="J112" s="52"/>
    </row>
    <row r="113" spans="1:10" ht="12.75">
      <c r="A113" s="43" t="s">
        <v>343</v>
      </c>
      <c r="B113" s="43">
        <f>(1*'Rad Metals for SimaPro'!D69)</f>
        <v>14647340</v>
      </c>
      <c r="C113" s="52">
        <f>(B113*'Eco indicator Points'!$B$17)</f>
        <v>46871488000</v>
      </c>
      <c r="D113" s="43"/>
      <c r="E113" s="43"/>
      <c r="F113" s="43"/>
      <c r="G113" s="43" t="s">
        <v>343</v>
      </c>
      <c r="H113" s="45">
        <f>(B113*'Eco indicator Points'!$B$17)/1000000</f>
        <v>46871.488</v>
      </c>
      <c r="I113" s="43"/>
      <c r="J113" s="52"/>
    </row>
    <row r="114" spans="1:10" ht="12.75">
      <c r="A114" s="120" t="s">
        <v>125</v>
      </c>
      <c r="B114" s="43"/>
      <c r="C114" s="202">
        <f>SUM(C111:C113)</f>
        <v>48154688000</v>
      </c>
      <c r="D114" s="43"/>
      <c r="E114" s="43"/>
      <c r="F114" s="43"/>
      <c r="G114" s="120"/>
      <c r="H114" s="202"/>
      <c r="I114" s="202"/>
      <c r="J114" s="43"/>
    </row>
    <row r="115" ht="12.75">
      <c r="A115" s="267" t="s">
        <v>249</v>
      </c>
    </row>
    <row r="116" spans="1:10" ht="51">
      <c r="A116" s="44" t="s">
        <v>108</v>
      </c>
      <c r="B116" s="44" t="s">
        <v>109</v>
      </c>
      <c r="C116" s="44" t="s">
        <v>634</v>
      </c>
      <c r="D116" s="44" t="s">
        <v>635</v>
      </c>
      <c r="E116" s="44" t="s">
        <v>636</v>
      </c>
      <c r="F116" s="44" t="s">
        <v>637</v>
      </c>
      <c r="G116" s="44" t="s">
        <v>108</v>
      </c>
      <c r="H116" s="44" t="s">
        <v>649</v>
      </c>
      <c r="I116" s="44" t="s">
        <v>108</v>
      </c>
      <c r="J116" s="44" t="s">
        <v>650</v>
      </c>
    </row>
    <row r="117" spans="1:10" ht="12.75">
      <c r="A117" s="43" t="s">
        <v>350</v>
      </c>
      <c r="B117" s="43">
        <f>(1*'Rad Metals for SimaPro'!$D$44)</f>
        <v>1200000</v>
      </c>
      <c r="C117" s="102">
        <f>(18+21)/2</f>
        <v>19.5</v>
      </c>
      <c r="D117" s="52">
        <f>(C117*B117)</f>
        <v>23400000</v>
      </c>
      <c r="E117" s="55">
        <f>(1.1+1.2)/2</f>
        <v>1.15</v>
      </c>
      <c r="F117" s="52">
        <f>(E117*B117)</f>
        <v>1380000</v>
      </c>
      <c r="G117" s="191" t="s">
        <v>350</v>
      </c>
      <c r="H117" s="194">
        <f>(D117/1000000)</f>
        <v>23.4</v>
      </c>
      <c r="I117" s="191" t="s">
        <v>350</v>
      </c>
      <c r="J117" s="194">
        <f>(F117/1000000)</f>
        <v>1.38</v>
      </c>
    </row>
    <row r="118" spans="1:10" ht="12.75">
      <c r="A118" s="43" t="s">
        <v>351</v>
      </c>
      <c r="B118" s="43">
        <f>(1*'Rad Metals for SimaPro'!$D$45)</f>
        <v>2352660</v>
      </c>
      <c r="C118" s="102">
        <f>(18+21)/2</f>
        <v>19.5</v>
      </c>
      <c r="D118" s="52">
        <f>(C118*B118)</f>
        <v>45876870</v>
      </c>
      <c r="E118" s="55">
        <f>(1.1+1.2)/2</f>
        <v>1.15</v>
      </c>
      <c r="F118" s="52">
        <f>(E118*B118)</f>
        <v>2705559</v>
      </c>
      <c r="G118" s="191" t="s">
        <v>351</v>
      </c>
      <c r="H118" s="194">
        <f>(D118/1000000)</f>
        <v>45.87687</v>
      </c>
      <c r="I118" s="191" t="s">
        <v>351</v>
      </c>
      <c r="J118" s="194">
        <f>(F118/1000000)</f>
        <v>2.705559</v>
      </c>
    </row>
    <row r="119" spans="1:10" ht="12.75">
      <c r="A119" s="43" t="s">
        <v>352</v>
      </c>
      <c r="B119" s="43">
        <f>(1*'Rad Metals for SimaPro'!$D$46)</f>
        <v>14647340</v>
      </c>
      <c r="C119" s="102">
        <f>(18+21)/2</f>
        <v>19.5</v>
      </c>
      <c r="D119" s="52">
        <f>(C119*B119)</f>
        <v>285623130</v>
      </c>
      <c r="E119" s="55">
        <f>(1.1+1.2)/2</f>
        <v>1.15</v>
      </c>
      <c r="F119" s="52">
        <f>(E119*B119)</f>
        <v>16844441</v>
      </c>
      <c r="G119" s="191" t="s">
        <v>352</v>
      </c>
      <c r="H119" s="194">
        <f>(D119/1000000)</f>
        <v>285.62313</v>
      </c>
      <c r="I119" s="191" t="s">
        <v>352</v>
      </c>
      <c r="J119" s="194">
        <f>(F119/1000000)</f>
        <v>16.844441</v>
      </c>
    </row>
    <row r="120" spans="1:10" ht="12.75">
      <c r="A120" s="120" t="s">
        <v>638</v>
      </c>
      <c r="B120" s="120"/>
      <c r="C120" s="202"/>
      <c r="D120" s="202">
        <f>SUM(D117:D119)</f>
        <v>354900000</v>
      </c>
      <c r="E120" s="43"/>
      <c r="F120" s="202">
        <f>SUM(F117:F119)</f>
        <v>20930000</v>
      </c>
      <c r="G120" s="262"/>
      <c r="H120" s="263"/>
      <c r="I120" s="262"/>
      <c r="J120" s="263"/>
    </row>
    <row r="121" spans="1:10" ht="12.75">
      <c r="A121" s="43" t="s">
        <v>113</v>
      </c>
      <c r="B121" s="43">
        <f>(1*'Rad Metals for SimaPro'!D47)</f>
        <v>405000</v>
      </c>
      <c r="C121" s="102">
        <f>(17+18.5)/2</f>
        <v>17.75</v>
      </c>
      <c r="D121" s="52">
        <f>(C121*B121)</f>
        <v>7188750</v>
      </c>
      <c r="E121" s="102">
        <f>(1.2+1.4)/2</f>
        <v>1.2999999999999998</v>
      </c>
      <c r="F121" s="52">
        <f>(E121*B121)</f>
        <v>526499.9999999999</v>
      </c>
      <c r="G121" s="191" t="s">
        <v>113</v>
      </c>
      <c r="H121" s="194">
        <f>(D121/1000000)</f>
        <v>7.18875</v>
      </c>
      <c r="I121" s="191" t="s">
        <v>113</v>
      </c>
      <c r="J121" s="194">
        <f>(F121/1000000)</f>
        <v>0.5264999999999999</v>
      </c>
    </row>
    <row r="122" spans="1:10" ht="12.75">
      <c r="A122" s="43" t="s">
        <v>114</v>
      </c>
      <c r="B122" s="43">
        <f>(1*'Rad Metals for SimaPro'!D48)</f>
        <v>3875460</v>
      </c>
      <c r="C122" s="102">
        <f>(17+18.5)/2</f>
        <v>17.75</v>
      </c>
      <c r="D122" s="52">
        <f>(C122*B122)</f>
        <v>68789415</v>
      </c>
      <c r="E122" s="102">
        <f>(1.2+1.4)/2</f>
        <v>1.2999999999999998</v>
      </c>
      <c r="F122" s="52">
        <f>(E122*B122)</f>
        <v>5038097.999999999</v>
      </c>
      <c r="G122" s="191" t="s">
        <v>114</v>
      </c>
      <c r="H122" s="194">
        <f>(D122/1000000)</f>
        <v>68.789415</v>
      </c>
      <c r="I122" s="191" t="s">
        <v>114</v>
      </c>
      <c r="J122" s="194">
        <f>(F122/1000000)</f>
        <v>5.038097999999999</v>
      </c>
    </row>
    <row r="123" spans="1:10" ht="12.75">
      <c r="A123" s="43" t="s">
        <v>115</v>
      </c>
      <c r="B123" s="43">
        <f>(1*'Rad Metals for SimaPro'!D49)</f>
        <v>1868540</v>
      </c>
      <c r="C123" s="102">
        <f>(17+18.5)/2</f>
        <v>17.75</v>
      </c>
      <c r="D123" s="52">
        <f>(C123*B123)</f>
        <v>33166585</v>
      </c>
      <c r="E123" s="102">
        <f>(1.2+1.4)/2</f>
        <v>1.2999999999999998</v>
      </c>
      <c r="F123" s="52">
        <f>(E123*B123)</f>
        <v>2429101.9999999995</v>
      </c>
      <c r="G123" s="191" t="s">
        <v>115</v>
      </c>
      <c r="H123" s="194">
        <f>(D123/1000000)</f>
        <v>33.166585</v>
      </c>
      <c r="I123" s="191" t="s">
        <v>115</v>
      </c>
      <c r="J123" s="194">
        <f>(F123/1000000)</f>
        <v>2.4291019999999994</v>
      </c>
    </row>
    <row r="124" spans="1:10" ht="12.75">
      <c r="A124" s="120" t="s">
        <v>639</v>
      </c>
      <c r="B124" s="120"/>
      <c r="C124" s="202"/>
      <c r="D124" s="202">
        <f>SUM(D121:D123)</f>
        <v>109144750</v>
      </c>
      <c r="E124" s="43"/>
      <c r="F124" s="202">
        <f>SUM(F121:F123)</f>
        <v>7993699.999999998</v>
      </c>
      <c r="G124" s="262"/>
      <c r="H124" s="263"/>
      <c r="I124" s="262"/>
      <c r="J124" s="263"/>
    </row>
    <row r="125" spans="1:10" ht="12.75">
      <c r="A125" s="43" t="s">
        <v>136</v>
      </c>
      <c r="B125" s="43">
        <f>(1*'Rad Metals for SimaPro'!D53)</f>
        <v>822000</v>
      </c>
      <c r="C125" s="102">
        <f>(8.4+9.2)/2</f>
        <v>8.8</v>
      </c>
      <c r="D125" s="52">
        <f>(C125*B125)</f>
        <v>7233600.000000001</v>
      </c>
      <c r="E125" s="102">
        <f>(0.46+0.51)/2</f>
        <v>0.485</v>
      </c>
      <c r="F125" s="52">
        <f>(E125*B125)</f>
        <v>398670</v>
      </c>
      <c r="G125" s="191" t="s">
        <v>136</v>
      </c>
      <c r="H125" s="194">
        <f>(D125/1000000)</f>
        <v>7.233600000000001</v>
      </c>
      <c r="I125" s="191" t="s">
        <v>136</v>
      </c>
      <c r="J125" s="194">
        <f>(F125/1000000)</f>
        <v>0.39867</v>
      </c>
    </row>
    <row r="126" spans="1:10" ht="12.75">
      <c r="A126" s="43" t="s">
        <v>137</v>
      </c>
      <c r="B126" s="43">
        <f>(1*'Rad Metals for SimaPro'!D54)</f>
        <v>6485920</v>
      </c>
      <c r="C126" s="102">
        <f>(8.4+9.2)/2</f>
        <v>8.8</v>
      </c>
      <c r="D126" s="52">
        <f>(C126*B126)</f>
        <v>57076096.00000001</v>
      </c>
      <c r="E126" s="102">
        <f>(0.46+0.51)/2</f>
        <v>0.485</v>
      </c>
      <c r="F126" s="52">
        <f>(E126*B126)</f>
        <v>3145671.1999999997</v>
      </c>
      <c r="G126" s="191" t="s">
        <v>137</v>
      </c>
      <c r="H126" s="194">
        <f>(D126/1000000)</f>
        <v>57.07609600000001</v>
      </c>
      <c r="I126" s="191" t="s">
        <v>137</v>
      </c>
      <c r="J126" s="194">
        <f>(F126/1000000)</f>
        <v>3.1456712</v>
      </c>
    </row>
    <row r="127" spans="1:10" ht="12.75">
      <c r="A127" s="169" t="s">
        <v>1436</v>
      </c>
      <c r="B127" s="169">
        <f>(1*'Rad Metals for SimaPro'!D55)</f>
        <v>3694080</v>
      </c>
      <c r="C127" s="102">
        <f>(8.4+9.2)/2</f>
        <v>8.8</v>
      </c>
      <c r="D127" s="52">
        <f>(C127*B127)</f>
        <v>32507904.000000004</v>
      </c>
      <c r="E127" s="102">
        <f>(0.46+0.51)/2</f>
        <v>0.485</v>
      </c>
      <c r="F127" s="52">
        <f>(E127*B127)</f>
        <v>1791628.8</v>
      </c>
      <c r="G127" s="192" t="s">
        <v>1436</v>
      </c>
      <c r="H127" s="194">
        <f>(D127/1000000)</f>
        <v>32.507904</v>
      </c>
      <c r="I127" s="192" t="s">
        <v>1436</v>
      </c>
      <c r="J127" s="194">
        <f>(F127/1000000)</f>
        <v>1.7916288</v>
      </c>
    </row>
    <row r="128" spans="1:10" ht="12.75">
      <c r="A128" s="120" t="s">
        <v>640</v>
      </c>
      <c r="B128" s="120"/>
      <c r="C128" s="202"/>
      <c r="D128" s="202">
        <f>SUM(D125:D127)</f>
        <v>96817600.00000001</v>
      </c>
      <c r="E128" s="43"/>
      <c r="F128" s="202">
        <f>SUM(F125:F127)</f>
        <v>5335970</v>
      </c>
      <c r="G128" s="262"/>
      <c r="H128" s="263"/>
      <c r="I128" s="262"/>
      <c r="J128" s="263"/>
    </row>
    <row r="129" spans="1:10" ht="12.75">
      <c r="A129" s="43" t="s">
        <v>139</v>
      </c>
      <c r="B129" s="43">
        <f>(1*'Rad Metals for SimaPro'!D56)</f>
        <v>3102000</v>
      </c>
      <c r="C129" s="102">
        <f>(31.8+35)/2</f>
        <v>33.4</v>
      </c>
      <c r="D129" s="52">
        <f>(C129*B129)</f>
        <v>103606800</v>
      </c>
      <c r="E129" s="43">
        <f>(1.97+2.21)/2</f>
        <v>2.09</v>
      </c>
      <c r="F129" s="52">
        <f>(E129*B129)</f>
        <v>6483180</v>
      </c>
      <c r="G129" s="191" t="s">
        <v>139</v>
      </c>
      <c r="H129" s="194">
        <f>(D129/1000000)</f>
        <v>103.6068</v>
      </c>
      <c r="I129" s="191" t="s">
        <v>139</v>
      </c>
      <c r="J129" s="194">
        <f>(F129/1000000)</f>
        <v>6.48318</v>
      </c>
    </row>
    <row r="130" spans="1:10" ht="12.75">
      <c r="A130" s="43" t="s">
        <v>140</v>
      </c>
      <c r="B130" s="43">
        <f>(1*'Rad Metals for SimaPro'!D57)</f>
        <v>7650000</v>
      </c>
      <c r="C130" s="102">
        <f>(31.8+35)/2</f>
        <v>33.4</v>
      </c>
      <c r="D130" s="52">
        <f>(C130*B130)</f>
        <v>255510000</v>
      </c>
      <c r="E130" s="43">
        <f>(1.97+2.21)/2</f>
        <v>2.09</v>
      </c>
      <c r="F130" s="52">
        <f>(E130*B130)</f>
        <v>15988499.999999998</v>
      </c>
      <c r="G130" s="191" t="s">
        <v>140</v>
      </c>
      <c r="H130" s="194">
        <f>(D130/1000000)</f>
        <v>255.51</v>
      </c>
      <c r="I130" s="191" t="s">
        <v>140</v>
      </c>
      <c r="J130" s="194">
        <f>(F130/1000000)</f>
        <v>15.988499999999998</v>
      </c>
    </row>
    <row r="131" spans="1:10" ht="12.75">
      <c r="A131" s="43" t="s">
        <v>141</v>
      </c>
      <c r="B131" s="43">
        <f>(1*'Rad Metals for SimaPro'!D58)</f>
        <v>0</v>
      </c>
      <c r="C131" s="102">
        <f>(31.8+35)/2</f>
        <v>33.4</v>
      </c>
      <c r="D131" s="52">
        <f>(C131*B131)</f>
        <v>0</v>
      </c>
      <c r="E131" s="43">
        <f>(1.97+2.21)/2</f>
        <v>2.09</v>
      </c>
      <c r="F131" s="52">
        <f>(E131*B131)</f>
        <v>0</v>
      </c>
      <c r="G131" s="191" t="s">
        <v>141</v>
      </c>
      <c r="H131" s="194">
        <f>(D131/1000000)</f>
        <v>0</v>
      </c>
      <c r="I131" s="191" t="s">
        <v>141</v>
      </c>
      <c r="J131" s="194">
        <f>(F131/1000000)</f>
        <v>0</v>
      </c>
    </row>
    <row r="132" spans="1:10" ht="12.75">
      <c r="A132" s="120" t="s">
        <v>641</v>
      </c>
      <c r="B132" s="43"/>
      <c r="C132" s="202"/>
      <c r="D132" s="202">
        <f>SUM(D129:D131)</f>
        <v>359116800</v>
      </c>
      <c r="E132" s="43"/>
      <c r="F132" s="202">
        <f>SUM(F129:F131)</f>
        <v>22471680</v>
      </c>
      <c r="G132" s="191"/>
      <c r="H132" s="194"/>
      <c r="I132" s="191"/>
      <c r="J132" s="194"/>
    </row>
    <row r="133" spans="1:10" ht="25.5">
      <c r="A133" s="55" t="s">
        <v>646</v>
      </c>
      <c r="B133" s="55">
        <f>(1*'Rad Metals for SimaPro'!D50)</f>
        <v>7423000</v>
      </c>
      <c r="C133" s="73">
        <f>(8.1+9.8)/2</f>
        <v>8.95</v>
      </c>
      <c r="D133" s="193">
        <f>(C133*B133)</f>
        <v>66435849.99999999</v>
      </c>
      <c r="E133" s="55">
        <f>(0.6+0.8)/2</f>
        <v>0.7</v>
      </c>
      <c r="F133" s="52">
        <f>(E133*B133)</f>
        <v>5196100</v>
      </c>
      <c r="G133" s="55" t="s">
        <v>1061</v>
      </c>
      <c r="H133" s="194">
        <f>(D133/1000000)</f>
        <v>66.43584999999999</v>
      </c>
      <c r="I133" s="55" t="s">
        <v>1061</v>
      </c>
      <c r="J133" s="194">
        <f>(F133/1000000)</f>
        <v>5.1961</v>
      </c>
    </row>
    <row r="134" spans="1:10" ht="25.5">
      <c r="A134" s="55" t="s">
        <v>1064</v>
      </c>
      <c r="B134" s="55">
        <f>(1*'Rad Metals for SimaPro'!D51)</f>
        <v>171560660</v>
      </c>
      <c r="C134" s="73">
        <f>(8.1+9.8)/2</f>
        <v>8.95</v>
      </c>
      <c r="D134" s="52">
        <f>(C134*B134)</f>
        <v>1535467906.9999998</v>
      </c>
      <c r="E134" s="55">
        <f>(0.6+0.8)/2</f>
        <v>0.7</v>
      </c>
      <c r="F134" s="52">
        <f>(E134*B134)</f>
        <v>120092461.99999999</v>
      </c>
      <c r="G134" s="55" t="s">
        <v>1062</v>
      </c>
      <c r="H134" s="194">
        <f>(D134/1000000)</f>
        <v>1535.4679069999997</v>
      </c>
      <c r="I134" s="55" t="s">
        <v>1062</v>
      </c>
      <c r="J134" s="194">
        <f>(F134/1000000)</f>
        <v>120.09246199999998</v>
      </c>
    </row>
    <row r="135" spans="1:10" ht="15" customHeight="1">
      <c r="A135" s="55" t="s">
        <v>1063</v>
      </c>
      <c r="B135" s="55">
        <f>(1*'Rad Metals for SimaPro'!D52)</f>
        <v>0</v>
      </c>
      <c r="C135" s="73">
        <f>(8.1+9.8)/2</f>
        <v>8.95</v>
      </c>
      <c r="D135" s="193">
        <f>(C135*B135)</f>
        <v>0</v>
      </c>
      <c r="E135" s="55">
        <f>(0.6+0.8)/2</f>
        <v>0.7</v>
      </c>
      <c r="F135" s="52">
        <f>(E135*B135)</f>
        <v>0</v>
      </c>
      <c r="G135" s="55" t="s">
        <v>1063</v>
      </c>
      <c r="H135" s="194">
        <f>(D135/1000000)</f>
        <v>0</v>
      </c>
      <c r="I135" s="55" t="s">
        <v>1063</v>
      </c>
      <c r="J135" s="194">
        <f>(F135/1000000)</f>
        <v>0</v>
      </c>
    </row>
    <row r="136" spans="1:10" ht="12.75">
      <c r="A136" s="120" t="s">
        <v>642</v>
      </c>
      <c r="B136" s="43"/>
      <c r="C136" s="202"/>
      <c r="D136" s="202">
        <f>SUM(D133:D135)</f>
        <v>1601903756.9999998</v>
      </c>
      <c r="E136" s="55"/>
      <c r="F136" s="202">
        <f>SUM(F133:F135)</f>
        <v>125288561.99999999</v>
      </c>
      <c r="G136" s="55"/>
      <c r="H136" s="57"/>
      <c r="I136" s="55"/>
      <c r="J136" s="57"/>
    </row>
    <row r="137" spans="1:10" ht="12.75">
      <c r="A137" s="43" t="s">
        <v>119</v>
      </c>
      <c r="B137" s="43">
        <f>(1*'Rad Metals for SimaPro'!D59)</f>
        <v>40000000</v>
      </c>
      <c r="C137" s="102">
        <f>(22+24)/2</f>
        <v>23</v>
      </c>
      <c r="D137" s="52">
        <f aca="true" t="shared" si="5" ref="D137:D145">(C137*B137)</f>
        <v>920000000</v>
      </c>
      <c r="E137" s="43">
        <f>(1.4+1.5)/2</f>
        <v>1.45</v>
      </c>
      <c r="F137" s="52">
        <f aca="true" t="shared" si="6" ref="F137:F144">(E137*B137)</f>
        <v>58000000</v>
      </c>
      <c r="G137" s="191" t="s">
        <v>119</v>
      </c>
      <c r="H137" s="194">
        <f>(D137/1000000)</f>
        <v>920</v>
      </c>
      <c r="I137" s="191" t="s">
        <v>119</v>
      </c>
      <c r="J137" s="194">
        <f>(F137/1000000)</f>
        <v>58</v>
      </c>
    </row>
    <row r="138" spans="1:10" ht="12.75">
      <c r="A138" s="43" t="s">
        <v>1065</v>
      </c>
      <c r="B138" s="43">
        <f>(1*'Rad Metals for SimaPro'!D60)</f>
        <v>59402160</v>
      </c>
      <c r="C138" s="102">
        <f>(22+24)/2</f>
        <v>23</v>
      </c>
      <c r="D138" s="52">
        <f t="shared" si="5"/>
        <v>1366249680</v>
      </c>
      <c r="E138" s="43">
        <f>(1.4+1.5)/2</f>
        <v>1.45</v>
      </c>
      <c r="F138" s="52">
        <f t="shared" si="6"/>
        <v>86133132</v>
      </c>
      <c r="G138" s="191" t="s">
        <v>1065</v>
      </c>
      <c r="H138" s="194">
        <f>(D138/1000000)</f>
        <v>1366.24968</v>
      </c>
      <c r="I138" s="191" t="s">
        <v>1065</v>
      </c>
      <c r="J138" s="194">
        <f>(F138/1000000)</f>
        <v>86.133132</v>
      </c>
    </row>
    <row r="139" spans="1:10" ht="12.75">
      <c r="A139" s="43" t="s">
        <v>1066</v>
      </c>
      <c r="B139" s="43">
        <f>(1*'Rad Metals for SimaPro'!D61)</f>
        <v>23999999.999999996</v>
      </c>
      <c r="C139" s="102">
        <f>(22+24)/2</f>
        <v>23</v>
      </c>
      <c r="D139" s="52">
        <f t="shared" si="5"/>
        <v>551999999.9999999</v>
      </c>
      <c r="E139" s="43">
        <f>(1.4+1.5)/2</f>
        <v>1.45</v>
      </c>
      <c r="F139" s="52">
        <f t="shared" si="6"/>
        <v>34799999.99999999</v>
      </c>
      <c r="G139" s="191" t="s">
        <v>1066</v>
      </c>
      <c r="H139" s="194">
        <f>(D139/1000000)</f>
        <v>551.9999999999999</v>
      </c>
      <c r="I139" s="191" t="s">
        <v>1066</v>
      </c>
      <c r="J139" s="194">
        <f>(F139/1000000)</f>
        <v>34.79999999999999</v>
      </c>
    </row>
    <row r="140" spans="1:10" ht="12.75">
      <c r="A140" s="43" t="s">
        <v>131</v>
      </c>
      <c r="B140" s="43">
        <f>(1*'Rad Metals for SimaPro'!D62)</f>
        <v>36597840</v>
      </c>
      <c r="C140" s="102">
        <f>(22+24)/2</f>
        <v>23</v>
      </c>
      <c r="D140" s="52">
        <f t="shared" si="5"/>
        <v>841750320</v>
      </c>
      <c r="E140" s="43">
        <f>(1.4+1.5)/2</f>
        <v>1.45</v>
      </c>
      <c r="F140" s="52">
        <f t="shared" si="6"/>
        <v>53066868</v>
      </c>
      <c r="G140" s="191" t="s">
        <v>131</v>
      </c>
      <c r="H140" s="194">
        <f>(D140/1000000)</f>
        <v>841.75032</v>
      </c>
      <c r="I140" s="191" t="s">
        <v>131</v>
      </c>
      <c r="J140" s="194">
        <f>(F140/1000000)</f>
        <v>53.066868</v>
      </c>
    </row>
    <row r="141" spans="1:10" ht="12.75">
      <c r="A141" s="120" t="s">
        <v>643</v>
      </c>
      <c r="B141" s="43"/>
      <c r="C141" s="202"/>
      <c r="D141" s="202">
        <f>SUM(D137:D140)</f>
        <v>3680000000</v>
      </c>
      <c r="E141" s="43"/>
      <c r="F141" s="202">
        <f>SUM(F137:F140)</f>
        <v>232000000</v>
      </c>
      <c r="G141" s="262"/>
      <c r="H141" s="263"/>
      <c r="I141" s="262"/>
      <c r="J141" s="263"/>
    </row>
    <row r="142" spans="1:10" ht="25.5">
      <c r="A142" s="55" t="s">
        <v>647</v>
      </c>
      <c r="B142" s="191">
        <f>(1*'Rad Metals for SimaPro'!D63)</f>
        <v>49000000</v>
      </c>
      <c r="C142" s="261">
        <f>(8.1+9.8+9+11)/4</f>
        <v>9.475</v>
      </c>
      <c r="D142" s="52">
        <f t="shared" si="5"/>
        <v>464275000</v>
      </c>
      <c r="E142" s="73">
        <f>(0.6+0.8+0.55+0.64)/4</f>
        <v>0.6475</v>
      </c>
      <c r="F142" s="52">
        <f>(E142*B142)</f>
        <v>31727500</v>
      </c>
      <c r="G142" s="191" t="s">
        <v>132</v>
      </c>
      <c r="H142" s="194">
        <f>(D142/1000000)</f>
        <v>464.275</v>
      </c>
      <c r="I142" s="191" t="s">
        <v>132</v>
      </c>
      <c r="J142" s="194">
        <f>(F142/1000000)</f>
        <v>31.7275</v>
      </c>
    </row>
    <row r="143" spans="1:10" ht="12.75">
      <c r="A143" s="43" t="s">
        <v>1067</v>
      </c>
      <c r="B143" s="191">
        <f>(1*'Rad Metals for SimaPro'!D64)</f>
        <v>270232820</v>
      </c>
      <c r="C143" s="261">
        <f>(8.1+9.8+9+11)/4</f>
        <v>9.475</v>
      </c>
      <c r="D143" s="52">
        <f t="shared" si="5"/>
        <v>2560455969.5</v>
      </c>
      <c r="E143" s="73">
        <f>(0.6+0.8+0.55+0.64)/4</f>
        <v>0.6475</v>
      </c>
      <c r="F143" s="52">
        <f>(E143*B143)</f>
        <v>174975750.95</v>
      </c>
      <c r="G143" s="191" t="s">
        <v>1067</v>
      </c>
      <c r="H143" s="194">
        <f>(D143/1000000)</f>
        <v>2560.4559695</v>
      </c>
      <c r="I143" s="191" t="s">
        <v>1067</v>
      </c>
      <c r="J143" s="194">
        <f>(F143/1000000)</f>
        <v>174.97575095</v>
      </c>
    </row>
    <row r="144" spans="1:10" ht="12.75">
      <c r="A144" s="43" t="s">
        <v>134</v>
      </c>
      <c r="B144" s="191">
        <f>(1*'Rad Metals for SimaPro'!D65)</f>
        <v>85999999.99999999</v>
      </c>
      <c r="C144" s="261">
        <f>(8.1+9.8+9+11)/4</f>
        <v>9.475</v>
      </c>
      <c r="D144" s="52">
        <f t="shared" si="5"/>
        <v>814849999.9999999</v>
      </c>
      <c r="E144" s="73">
        <f>(0.6+0.8+0.55+0.64)/4</f>
        <v>0.6475</v>
      </c>
      <c r="F144" s="52">
        <f t="shared" si="6"/>
        <v>55684999.999999985</v>
      </c>
      <c r="G144" s="191" t="s">
        <v>849</v>
      </c>
      <c r="H144" s="194">
        <f>(D144/1000000)</f>
        <v>814.8499999999999</v>
      </c>
      <c r="I144" s="191" t="s">
        <v>849</v>
      </c>
      <c r="J144" s="194">
        <f>(F144/1000000)</f>
        <v>55.68499999999999</v>
      </c>
    </row>
    <row r="145" spans="1:10" ht="12.75">
      <c r="A145" s="43" t="s">
        <v>135</v>
      </c>
      <c r="B145" s="191">
        <f>(1*'Rad Metals for SimaPro'!D66)</f>
        <v>73767180</v>
      </c>
      <c r="C145" s="261">
        <f>(8.1+9.8+9+11)/4</f>
        <v>9.475</v>
      </c>
      <c r="D145" s="52">
        <f t="shared" si="5"/>
        <v>698944030.5</v>
      </c>
      <c r="E145" s="73">
        <f>(0.6+0.8+0.55+0.64)/4</f>
        <v>0.6475</v>
      </c>
      <c r="F145" s="52">
        <f>(E145*B145)</f>
        <v>47764249.05</v>
      </c>
      <c r="G145" s="191" t="s">
        <v>135</v>
      </c>
      <c r="H145" s="194">
        <f>(D145/1000000)</f>
        <v>698.9440305</v>
      </c>
      <c r="I145" s="191" t="s">
        <v>135</v>
      </c>
      <c r="J145" s="194">
        <f>(F145/1000000)</f>
        <v>47.76424905</v>
      </c>
    </row>
    <row r="146" spans="1:10" ht="12.75">
      <c r="A146" s="120" t="s">
        <v>644</v>
      </c>
      <c r="B146" s="43"/>
      <c r="C146" s="202"/>
      <c r="D146" s="202">
        <f>SUM(D142:D145)</f>
        <v>4538525000</v>
      </c>
      <c r="E146" s="55"/>
      <c r="F146" s="202">
        <f>SUM(F142:F145)</f>
        <v>310152500</v>
      </c>
      <c r="G146" s="262"/>
      <c r="H146" s="263"/>
      <c r="I146" s="262"/>
      <c r="J146" s="263"/>
    </row>
    <row r="147" spans="1:10" ht="12.75">
      <c r="A147" s="43" t="s">
        <v>341</v>
      </c>
      <c r="B147" s="43">
        <f>(1*'Rad Metals for SimaPro'!D67)</f>
        <v>48000</v>
      </c>
      <c r="C147" s="102">
        <f>(12.6+13.5)/2</f>
        <v>13.05</v>
      </c>
      <c r="D147" s="52">
        <f>(C147*B147)</f>
        <v>626400</v>
      </c>
      <c r="E147" s="43">
        <f>(0.66+0.72)/2</f>
        <v>0.69</v>
      </c>
      <c r="F147" s="52">
        <f>(E147*B147)</f>
        <v>33120</v>
      </c>
      <c r="G147" s="191" t="s">
        <v>341</v>
      </c>
      <c r="H147" s="194">
        <f>(D147/1000000)</f>
        <v>0.6264</v>
      </c>
      <c r="I147" s="191" t="s">
        <v>341</v>
      </c>
      <c r="J147" s="194">
        <f>(F147/1000000)</f>
        <v>0.03312</v>
      </c>
    </row>
    <row r="148" spans="1:10" ht="12.75">
      <c r="A148" s="43" t="s">
        <v>342</v>
      </c>
      <c r="B148" s="43">
        <f>(1*'Rad Metals for SimaPro'!D68)</f>
        <v>353000</v>
      </c>
      <c r="C148" s="102">
        <f>(12.6+13.5)/2</f>
        <v>13.05</v>
      </c>
      <c r="D148" s="52">
        <f>(C148*B148)</f>
        <v>4606650</v>
      </c>
      <c r="E148" s="43">
        <f>(0.66+0.72)/2</f>
        <v>0.69</v>
      </c>
      <c r="F148" s="52">
        <f>(E148*B148)</f>
        <v>243569.99999999997</v>
      </c>
      <c r="G148" s="191" t="s">
        <v>342</v>
      </c>
      <c r="H148" s="194">
        <f>(D148/1000000)</f>
        <v>4.60665</v>
      </c>
      <c r="I148" s="191" t="s">
        <v>342</v>
      </c>
      <c r="J148" s="194">
        <f>(F148/1000000)</f>
        <v>0.24356999999999998</v>
      </c>
    </row>
    <row r="149" spans="1:10" ht="12.75">
      <c r="A149" s="43" t="s">
        <v>343</v>
      </c>
      <c r="B149" s="43">
        <f>(1*'Rad Metals for SimaPro'!D69)</f>
        <v>14647340</v>
      </c>
      <c r="C149" s="102">
        <f>(12.6+13.5)/2</f>
        <v>13.05</v>
      </c>
      <c r="D149" s="52">
        <f>(C149*B149)</f>
        <v>191147787</v>
      </c>
      <c r="E149" s="43">
        <f>(0.66+0.72)/2</f>
        <v>0.69</v>
      </c>
      <c r="F149" s="52">
        <f>(E149*B149)</f>
        <v>10106664.6</v>
      </c>
      <c r="G149" s="191" t="s">
        <v>343</v>
      </c>
      <c r="H149" s="194">
        <f>(D149/1000000)</f>
        <v>191.147787</v>
      </c>
      <c r="I149" s="191" t="s">
        <v>343</v>
      </c>
      <c r="J149" s="194">
        <f>(F149/1000000)</f>
        <v>10.1066646</v>
      </c>
    </row>
    <row r="150" spans="1:10" ht="12.75">
      <c r="A150" s="120" t="s">
        <v>645</v>
      </c>
      <c r="B150" s="43"/>
      <c r="C150" s="202"/>
      <c r="D150" s="202">
        <f>SUM(D147:D149)</f>
        <v>196380837</v>
      </c>
      <c r="E150" s="43"/>
      <c r="F150" s="202">
        <f>SUM(F147:F149)</f>
        <v>10383354.6</v>
      </c>
      <c r="G150" s="262"/>
      <c r="H150" s="266"/>
      <c r="I150" s="262"/>
      <c r="J150" s="266"/>
    </row>
    <row r="151" ht="12.75">
      <c r="A151" s="310" t="s">
        <v>481</v>
      </c>
    </row>
    <row r="152" spans="7:10" ht="38.25">
      <c r="G152" s="44" t="s">
        <v>657</v>
      </c>
      <c r="H152" s="44" t="s">
        <v>649</v>
      </c>
      <c r="I152" s="44" t="s">
        <v>657</v>
      </c>
      <c r="J152" s="44" t="s">
        <v>651</v>
      </c>
    </row>
    <row r="153" spans="7:10" ht="12.75">
      <c r="G153" s="191" t="s">
        <v>656</v>
      </c>
      <c r="H153" s="194">
        <f>(H119+H118+H117)</f>
        <v>354.9</v>
      </c>
      <c r="I153" s="191" t="s">
        <v>656</v>
      </c>
      <c r="J153" s="194">
        <f>(J119+J118+J117)</f>
        <v>20.93</v>
      </c>
    </row>
    <row r="154" spans="7:10" ht="12.75">
      <c r="G154" s="191" t="s">
        <v>198</v>
      </c>
      <c r="H154" s="194">
        <f>(H123+H122+H121)</f>
        <v>109.14475</v>
      </c>
      <c r="I154" s="191" t="s">
        <v>198</v>
      </c>
      <c r="J154" s="194">
        <f>(J123+J122+J121)</f>
        <v>7.993699999999998</v>
      </c>
    </row>
    <row r="155" spans="7:10" ht="12.75">
      <c r="G155" s="191" t="s">
        <v>1032</v>
      </c>
      <c r="H155" s="194">
        <f>(H135+H134+H133)</f>
        <v>1601.9037569999998</v>
      </c>
      <c r="I155" s="191" t="s">
        <v>1032</v>
      </c>
      <c r="J155" s="194">
        <f>(J135+J134+J133)</f>
        <v>125.28856199999998</v>
      </c>
    </row>
    <row r="156" spans="7:10" ht="12.75">
      <c r="G156" s="264" t="s">
        <v>199</v>
      </c>
      <c r="H156" s="265">
        <f>(H127+H126+H125)</f>
        <v>96.8176</v>
      </c>
      <c r="I156" s="264" t="s">
        <v>199</v>
      </c>
      <c r="J156" s="265">
        <f>(J127+J126+J125)</f>
        <v>5.33597</v>
      </c>
    </row>
    <row r="157" spans="7:10" ht="12.75">
      <c r="G157" s="191" t="s">
        <v>1031</v>
      </c>
      <c r="H157" s="194">
        <f>(H129+H130+H131)</f>
        <v>359.1168</v>
      </c>
      <c r="I157" s="191" t="s">
        <v>1031</v>
      </c>
      <c r="J157" s="194">
        <f>(J129+J130+J131)</f>
        <v>22.47168</v>
      </c>
    </row>
    <row r="158" spans="7:10" ht="12.75">
      <c r="G158" s="191" t="s">
        <v>284</v>
      </c>
      <c r="H158" s="194">
        <f>(H140+H139+H138+H137)</f>
        <v>3680</v>
      </c>
      <c r="I158" s="191" t="s">
        <v>284</v>
      </c>
      <c r="J158" s="194">
        <f>(J140+J139+J138+J137)</f>
        <v>232</v>
      </c>
    </row>
    <row r="159" spans="7:10" ht="12.75">
      <c r="G159" s="191" t="s">
        <v>850</v>
      </c>
      <c r="H159" s="194">
        <f>(H145+H144+H143+H142)</f>
        <v>4538.525</v>
      </c>
      <c r="I159" s="191" t="s">
        <v>850</v>
      </c>
      <c r="J159" s="194">
        <f>(J145+J144+J143+J142)</f>
        <v>310.1525</v>
      </c>
    </row>
    <row r="160" spans="7:10" ht="12.75">
      <c r="G160" s="191" t="s">
        <v>658</v>
      </c>
      <c r="H160" s="194">
        <f>(H149+H148+H147)</f>
        <v>196.38083699999999</v>
      </c>
      <c r="I160" s="191" t="s">
        <v>658</v>
      </c>
      <c r="J160" s="194">
        <f>(J149+J148+J147)</f>
        <v>10.3833546</v>
      </c>
    </row>
    <row r="161" ht="12.75">
      <c r="A161" s="267" t="s">
        <v>250</v>
      </c>
    </row>
    <row r="162" spans="1:10" ht="51">
      <c r="A162" s="44" t="s">
        <v>108</v>
      </c>
      <c r="B162" s="44" t="s">
        <v>109</v>
      </c>
      <c r="C162" s="44" t="s">
        <v>634</v>
      </c>
      <c r="D162" s="44" t="s">
        <v>635</v>
      </c>
      <c r="E162" s="44" t="s">
        <v>636</v>
      </c>
      <c r="F162" s="44" t="s">
        <v>637</v>
      </c>
      <c r="G162" s="44" t="s">
        <v>108</v>
      </c>
      <c r="H162" s="44" t="s">
        <v>649</v>
      </c>
      <c r="I162" s="44" t="s">
        <v>108</v>
      </c>
      <c r="J162" s="44" t="s">
        <v>650</v>
      </c>
    </row>
    <row r="163" spans="1:10" ht="12.75">
      <c r="A163" s="43" t="s">
        <v>350</v>
      </c>
      <c r="B163" s="43">
        <f>(1*'Rad Metals for SimaPro'!$D$44)</f>
        <v>1200000</v>
      </c>
      <c r="C163" s="102">
        <f>(200+240)/2</f>
        <v>220</v>
      </c>
      <c r="D163" s="52">
        <f>(C163*B163)</f>
        <v>264000000</v>
      </c>
      <c r="E163" s="55">
        <f>(11+13)/2</f>
        <v>12</v>
      </c>
      <c r="F163" s="52">
        <f>(E163*B163)</f>
        <v>14400000</v>
      </c>
      <c r="G163" s="191" t="s">
        <v>350</v>
      </c>
      <c r="H163" s="194">
        <f>(D163/1000000)</f>
        <v>264</v>
      </c>
      <c r="I163" s="191" t="s">
        <v>350</v>
      </c>
      <c r="J163" s="194">
        <f>(F163/1000000)</f>
        <v>14.4</v>
      </c>
    </row>
    <row r="164" spans="1:10" ht="12.75">
      <c r="A164" s="43" t="s">
        <v>351</v>
      </c>
      <c r="B164" s="43">
        <f>(1*'Rad Metals for SimaPro'!$D$45)</f>
        <v>2352660</v>
      </c>
      <c r="C164" s="102">
        <f>(200+240)/2</f>
        <v>220</v>
      </c>
      <c r="D164" s="52">
        <f>(C164*B164)</f>
        <v>517585200</v>
      </c>
      <c r="E164" s="55">
        <f>(11+13)/2</f>
        <v>12</v>
      </c>
      <c r="F164" s="52">
        <f>(E164*B164)</f>
        <v>28231920</v>
      </c>
      <c r="G164" s="191" t="s">
        <v>351</v>
      </c>
      <c r="H164" s="194">
        <f>(D164/1000000)</f>
        <v>517.5852</v>
      </c>
      <c r="I164" s="191" t="s">
        <v>351</v>
      </c>
      <c r="J164" s="194">
        <f>(F164/1000000)</f>
        <v>28.23192</v>
      </c>
    </row>
    <row r="165" spans="1:10" ht="12.75">
      <c r="A165" s="43" t="s">
        <v>352</v>
      </c>
      <c r="B165" s="43">
        <f>(1*'Rad Metals for SimaPro'!$D$46)</f>
        <v>14647340</v>
      </c>
      <c r="C165" s="102">
        <f>(200+240)/2</f>
        <v>220</v>
      </c>
      <c r="D165" s="52">
        <f>(C165*B165)</f>
        <v>3222414800</v>
      </c>
      <c r="E165" s="55">
        <f>(11+13)/2</f>
        <v>12</v>
      </c>
      <c r="F165" s="52">
        <f>(E165*B165)</f>
        <v>175768080</v>
      </c>
      <c r="G165" s="191" t="s">
        <v>352</v>
      </c>
      <c r="H165" s="194">
        <f>(D165/1000000)</f>
        <v>3222.4148</v>
      </c>
      <c r="I165" s="191" t="s">
        <v>352</v>
      </c>
      <c r="J165" s="194">
        <f>(F165/1000000)</f>
        <v>175.76808</v>
      </c>
    </row>
    <row r="166" spans="1:10" ht="12.75">
      <c r="A166" s="120" t="s">
        <v>638</v>
      </c>
      <c r="B166" s="120"/>
      <c r="C166" s="202"/>
      <c r="D166" s="202">
        <f>SUM(D163:D165)</f>
        <v>4004000000</v>
      </c>
      <c r="E166" s="43"/>
      <c r="F166" s="202">
        <f>SUM(F163:F165)</f>
        <v>218400000</v>
      </c>
      <c r="G166" s="262"/>
      <c r="H166" s="263"/>
      <c r="I166" s="262"/>
      <c r="J166" s="263"/>
    </row>
    <row r="167" spans="1:10" ht="12.75">
      <c r="A167" s="43" t="s">
        <v>113</v>
      </c>
      <c r="B167" s="43">
        <f>(1*'Rad Metals for SimaPro'!D47)</f>
        <v>405000</v>
      </c>
      <c r="C167" s="102">
        <f>(68+74)/2</f>
        <v>71</v>
      </c>
      <c r="D167" s="52">
        <f>(C167*B167)</f>
        <v>28755000</v>
      </c>
      <c r="E167" s="102">
        <f>(4.9+5.6)/2</f>
        <v>5.25</v>
      </c>
      <c r="F167" s="52">
        <f>(E167*B167)</f>
        <v>2126250</v>
      </c>
      <c r="G167" s="191" t="s">
        <v>113</v>
      </c>
      <c r="H167" s="194">
        <f>(D167/1000000)</f>
        <v>28.755</v>
      </c>
      <c r="I167" s="191" t="s">
        <v>113</v>
      </c>
      <c r="J167" s="194">
        <f>(F167/1000000)</f>
        <v>2.12625</v>
      </c>
    </row>
    <row r="168" spans="1:10" ht="12.75">
      <c r="A168" s="43" t="s">
        <v>114</v>
      </c>
      <c r="B168" s="43">
        <f>(1*'Rad Metals for SimaPro'!D48)</f>
        <v>3875460</v>
      </c>
      <c r="C168" s="102">
        <f>(68+74)/2</f>
        <v>71</v>
      </c>
      <c r="D168" s="52">
        <f>(C168*B168)</f>
        <v>275157660</v>
      </c>
      <c r="E168" s="102">
        <f>(4.9+5.6)/2</f>
        <v>5.25</v>
      </c>
      <c r="F168" s="52">
        <f>(E168*B168)</f>
        <v>20346165</v>
      </c>
      <c r="G168" s="191" t="s">
        <v>114</v>
      </c>
      <c r="H168" s="194">
        <f>(D168/1000000)</f>
        <v>275.15766</v>
      </c>
      <c r="I168" s="191" t="s">
        <v>114</v>
      </c>
      <c r="J168" s="194">
        <f>(F168/1000000)</f>
        <v>20.346165</v>
      </c>
    </row>
    <row r="169" spans="1:10" ht="12.75">
      <c r="A169" s="43" t="s">
        <v>115</v>
      </c>
      <c r="B169" s="43">
        <f>(1*'Rad Metals for SimaPro'!D49)</f>
        <v>1868540</v>
      </c>
      <c r="C169" s="102">
        <f>(68+74)/2</f>
        <v>71</v>
      </c>
      <c r="D169" s="52">
        <f>(C169*B169)</f>
        <v>132666340</v>
      </c>
      <c r="E169" s="102">
        <f>(4.9+5.6)/2</f>
        <v>5.25</v>
      </c>
      <c r="F169" s="52">
        <f>(E169*B169)</f>
        <v>9809835</v>
      </c>
      <c r="G169" s="191" t="s">
        <v>115</v>
      </c>
      <c r="H169" s="194">
        <f>(D169/1000000)</f>
        <v>132.66634</v>
      </c>
      <c r="I169" s="191" t="s">
        <v>115</v>
      </c>
      <c r="J169" s="194">
        <f>(F169/1000000)</f>
        <v>9.809835</v>
      </c>
    </row>
    <row r="170" spans="1:10" ht="12.75">
      <c r="A170" s="120" t="s">
        <v>639</v>
      </c>
      <c r="B170" s="120"/>
      <c r="C170" s="202"/>
      <c r="D170" s="202">
        <f>SUM(D167:D169)</f>
        <v>436579000</v>
      </c>
      <c r="E170" s="43"/>
      <c r="F170" s="202">
        <f>SUM(F167:F169)</f>
        <v>32282250</v>
      </c>
      <c r="G170" s="262"/>
      <c r="H170" s="263"/>
      <c r="I170" s="262"/>
      <c r="J170" s="263"/>
    </row>
    <row r="171" spans="1:10" ht="12.75">
      <c r="A171" s="43" t="s">
        <v>136</v>
      </c>
      <c r="B171" s="43">
        <f>(1*'Rad Metals for SimaPro'!D53)</f>
        <v>822000</v>
      </c>
      <c r="C171" s="102">
        <f>(53+58)/2</f>
        <v>55.5</v>
      </c>
      <c r="D171" s="52">
        <f>(C171*B171)</f>
        <v>45621000</v>
      </c>
      <c r="E171" s="102">
        <f>(3.3+3.7)/2</f>
        <v>3.5</v>
      </c>
      <c r="F171" s="52">
        <f>(E171*B171)</f>
        <v>2877000</v>
      </c>
      <c r="G171" s="191" t="s">
        <v>136</v>
      </c>
      <c r="H171" s="194">
        <f>(D171/1000000)</f>
        <v>45.621</v>
      </c>
      <c r="I171" s="191" t="s">
        <v>136</v>
      </c>
      <c r="J171" s="194">
        <f>(F171/1000000)</f>
        <v>2.877</v>
      </c>
    </row>
    <row r="172" spans="1:10" ht="12.75">
      <c r="A172" s="43" t="s">
        <v>137</v>
      </c>
      <c r="B172" s="43">
        <f>(1*'Rad Metals for SimaPro'!D54)</f>
        <v>6485920</v>
      </c>
      <c r="C172" s="102">
        <f>(53+58)/2</f>
        <v>55.5</v>
      </c>
      <c r="D172" s="52">
        <f>(C172*B172)</f>
        <v>359968560</v>
      </c>
      <c r="E172" s="102">
        <f>(3.3+3.7)/2</f>
        <v>3.5</v>
      </c>
      <c r="F172" s="52">
        <f>(E172*B172)</f>
        <v>22700720</v>
      </c>
      <c r="G172" s="191" t="s">
        <v>137</v>
      </c>
      <c r="H172" s="194">
        <f>(D172/1000000)</f>
        <v>359.96856</v>
      </c>
      <c r="I172" s="191" t="s">
        <v>137</v>
      </c>
      <c r="J172" s="194">
        <f>(F172/1000000)</f>
        <v>22.70072</v>
      </c>
    </row>
    <row r="173" spans="1:10" ht="12.75">
      <c r="A173" s="169" t="s">
        <v>1436</v>
      </c>
      <c r="B173" s="169">
        <f>(1*'Rad Metals for SimaPro'!D55)</f>
        <v>3694080</v>
      </c>
      <c r="C173" s="102">
        <f>(53+58)/2</f>
        <v>55.5</v>
      </c>
      <c r="D173" s="52">
        <f>(C173*B173)</f>
        <v>205021440</v>
      </c>
      <c r="E173" s="102">
        <f>(3.3+3.7)/2</f>
        <v>3.5</v>
      </c>
      <c r="F173" s="52">
        <f>(E173*B173)</f>
        <v>12929280</v>
      </c>
      <c r="G173" s="192" t="s">
        <v>1436</v>
      </c>
      <c r="H173" s="194">
        <f>(D173/1000000)</f>
        <v>205.02144</v>
      </c>
      <c r="I173" s="192" t="s">
        <v>1436</v>
      </c>
      <c r="J173" s="194">
        <f>(F173/1000000)</f>
        <v>12.92928</v>
      </c>
    </row>
    <row r="174" spans="1:10" ht="12.75">
      <c r="A174" s="120" t="s">
        <v>640</v>
      </c>
      <c r="B174" s="120"/>
      <c r="C174" s="202"/>
      <c r="D174" s="202">
        <f>SUM(D171:D173)</f>
        <v>610611000</v>
      </c>
      <c r="E174" s="43"/>
      <c r="F174" s="202">
        <f>SUM(F171:F173)</f>
        <v>38507000</v>
      </c>
      <c r="G174" s="262"/>
      <c r="H174" s="263"/>
      <c r="I174" s="262"/>
      <c r="J174" s="263"/>
    </row>
    <row r="175" spans="1:10" ht="12.75">
      <c r="A175" s="43" t="s">
        <v>139</v>
      </c>
      <c r="B175" s="43">
        <f>(1*'Rad Metals for SimaPro'!D56)</f>
        <v>3102000</v>
      </c>
      <c r="C175" s="102">
        <f>(127+140)/2</f>
        <v>133.5</v>
      </c>
      <c r="D175" s="52">
        <f>(C175*B175)</f>
        <v>414117000</v>
      </c>
      <c r="E175" s="43">
        <f>(7.89+8.82)/2</f>
        <v>8.355</v>
      </c>
      <c r="F175" s="52">
        <f>(E175*B175)</f>
        <v>25917210</v>
      </c>
      <c r="G175" s="191" t="s">
        <v>139</v>
      </c>
      <c r="H175" s="194">
        <f>(D175/1000000)</f>
        <v>414.117</v>
      </c>
      <c r="I175" s="191" t="s">
        <v>139</v>
      </c>
      <c r="J175" s="194">
        <f>(F175/1000000)</f>
        <v>25.91721</v>
      </c>
    </row>
    <row r="176" spans="1:10" ht="12.75">
      <c r="A176" s="43" t="s">
        <v>140</v>
      </c>
      <c r="B176" s="43">
        <f>(1*'Rad Metals for SimaPro'!D57)</f>
        <v>7650000</v>
      </c>
      <c r="C176" s="102">
        <f>(127+140)/2</f>
        <v>133.5</v>
      </c>
      <c r="D176" s="52">
        <f>(C176*B176)</f>
        <v>1021275000</v>
      </c>
      <c r="E176" s="43">
        <f>(7.89+8.82)/2</f>
        <v>8.355</v>
      </c>
      <c r="F176" s="52">
        <f>(E176*B176)</f>
        <v>63915750</v>
      </c>
      <c r="G176" s="191" t="s">
        <v>140</v>
      </c>
      <c r="H176" s="194">
        <f>(D176/1000000)</f>
        <v>1021.275</v>
      </c>
      <c r="I176" s="191" t="s">
        <v>140</v>
      </c>
      <c r="J176" s="194">
        <f>(F176/1000000)</f>
        <v>63.91575</v>
      </c>
    </row>
    <row r="177" spans="1:10" ht="12.75">
      <c r="A177" s="43" t="s">
        <v>141</v>
      </c>
      <c r="B177" s="43">
        <f>(1*'Rad Metals for SimaPro'!D58)</f>
        <v>0</v>
      </c>
      <c r="C177" s="102">
        <f>(127+140)/2</f>
        <v>133.5</v>
      </c>
      <c r="D177" s="52">
        <f>(C177*B177)</f>
        <v>0</v>
      </c>
      <c r="E177" s="43">
        <f>(7.89+8.82)/2</f>
        <v>8.355</v>
      </c>
      <c r="F177" s="52">
        <f>(E177*B177)</f>
        <v>0</v>
      </c>
      <c r="G177" s="191" t="s">
        <v>141</v>
      </c>
      <c r="H177" s="194">
        <f>(D177/1000000)</f>
        <v>0</v>
      </c>
      <c r="I177" s="191" t="s">
        <v>141</v>
      </c>
      <c r="J177" s="194">
        <f>(F177/1000000)</f>
        <v>0</v>
      </c>
    </row>
    <row r="178" spans="1:10" ht="12.75">
      <c r="A178" s="120" t="s">
        <v>641</v>
      </c>
      <c r="B178" s="43"/>
      <c r="C178" s="202"/>
      <c r="D178" s="202">
        <f>SUM(D175:D177)</f>
        <v>1435392000</v>
      </c>
      <c r="E178" s="43"/>
      <c r="F178" s="202">
        <f>SUM(F175:F177)</f>
        <v>89832960</v>
      </c>
      <c r="G178" s="191"/>
      <c r="H178" s="194"/>
      <c r="I178" s="191"/>
      <c r="J178" s="194"/>
    </row>
    <row r="179" spans="1:10" ht="25.5">
      <c r="A179" s="55" t="s">
        <v>646</v>
      </c>
      <c r="B179" s="55">
        <f>(1*'Rad Metals for SimaPro'!D50)</f>
        <v>7423000</v>
      </c>
      <c r="C179" s="73">
        <f>(29+35)/2</f>
        <v>32</v>
      </c>
      <c r="D179" s="193">
        <f>(C179*B179)</f>
        <v>237536000</v>
      </c>
      <c r="E179" s="55">
        <f>(2.2+2.8)/2</f>
        <v>2.5</v>
      </c>
      <c r="F179" s="52">
        <f>(E179*B179)</f>
        <v>18557500</v>
      </c>
      <c r="G179" s="55" t="s">
        <v>1061</v>
      </c>
      <c r="H179" s="194">
        <f>(D179/1000000)</f>
        <v>237.536</v>
      </c>
      <c r="I179" s="55" t="s">
        <v>1061</v>
      </c>
      <c r="J179" s="194">
        <f>(F179/1000000)</f>
        <v>18.5575</v>
      </c>
    </row>
    <row r="180" spans="1:10" ht="25.5">
      <c r="A180" s="55" t="s">
        <v>1064</v>
      </c>
      <c r="B180" s="55">
        <f>(1*'Rad Metals for SimaPro'!D51)</f>
        <v>171560660</v>
      </c>
      <c r="C180" s="73">
        <f>(29+35)/2</f>
        <v>32</v>
      </c>
      <c r="D180" s="52">
        <f>(C180*B180)</f>
        <v>5489941120</v>
      </c>
      <c r="E180" s="55">
        <f>(2.2+2.8)/2</f>
        <v>2.5</v>
      </c>
      <c r="F180" s="52">
        <f>(E180*B180)</f>
        <v>428901650</v>
      </c>
      <c r="G180" s="55" t="s">
        <v>1062</v>
      </c>
      <c r="H180" s="194">
        <f>(D180/1000000)</f>
        <v>5489.94112</v>
      </c>
      <c r="I180" s="55" t="s">
        <v>1062</v>
      </c>
      <c r="J180" s="194">
        <f>(F180/1000000)</f>
        <v>428.90165</v>
      </c>
    </row>
    <row r="181" spans="1:10" ht="25.5">
      <c r="A181" s="55" t="s">
        <v>1063</v>
      </c>
      <c r="B181" s="55">
        <f>(1*'Rad Metals for SimaPro'!D52)</f>
        <v>0</v>
      </c>
      <c r="C181" s="73">
        <f>(29+35)/2</f>
        <v>32</v>
      </c>
      <c r="D181" s="193">
        <f>(C181*B181)</f>
        <v>0</v>
      </c>
      <c r="E181" s="55">
        <f>(2.2+2.8)/2</f>
        <v>2.5</v>
      </c>
      <c r="F181" s="52">
        <f>(E181*B181)</f>
        <v>0</v>
      </c>
      <c r="G181" s="55" t="s">
        <v>1063</v>
      </c>
      <c r="H181" s="194">
        <f>(D181/1000000)</f>
        <v>0</v>
      </c>
      <c r="I181" s="55" t="s">
        <v>1063</v>
      </c>
      <c r="J181" s="194">
        <f>(F181/1000000)</f>
        <v>0</v>
      </c>
    </row>
    <row r="182" spans="1:10" ht="12.75">
      <c r="A182" s="120" t="s">
        <v>642</v>
      </c>
      <c r="B182" s="43"/>
      <c r="C182" s="202"/>
      <c r="D182" s="202">
        <f>SUM(D179:D181)</f>
        <v>5727477120</v>
      </c>
      <c r="E182" s="55"/>
      <c r="F182" s="202">
        <f>SUM(F179:F181)</f>
        <v>447459150</v>
      </c>
      <c r="G182" s="55"/>
      <c r="H182" s="57"/>
      <c r="I182" s="55"/>
      <c r="J182" s="57"/>
    </row>
    <row r="183" spans="1:10" ht="12.75">
      <c r="A183" s="43" t="s">
        <v>119</v>
      </c>
      <c r="B183" s="43">
        <f>(1*'Rad Metals for SimaPro'!D59)</f>
        <v>40000000</v>
      </c>
      <c r="C183" s="102">
        <f>(77+85)/2</f>
        <v>81</v>
      </c>
      <c r="D183" s="52">
        <f>(C183*B183)</f>
        <v>3240000000</v>
      </c>
      <c r="E183" s="43">
        <f>(4.7+5.4)/2</f>
        <v>5.050000000000001</v>
      </c>
      <c r="F183" s="52">
        <f>(E183*B183)</f>
        <v>202000000.00000003</v>
      </c>
      <c r="G183" s="191" t="s">
        <v>119</v>
      </c>
      <c r="H183" s="194">
        <f>(D183/1000000)</f>
        <v>3240</v>
      </c>
      <c r="I183" s="191" t="s">
        <v>119</v>
      </c>
      <c r="J183" s="194">
        <f>(F183/1000000)</f>
        <v>202.00000000000003</v>
      </c>
    </row>
    <row r="184" spans="1:10" ht="12.75">
      <c r="A184" s="43" t="s">
        <v>1065</v>
      </c>
      <c r="B184" s="43">
        <f>(1*'Rad Metals for SimaPro'!D60)</f>
        <v>59402160</v>
      </c>
      <c r="C184" s="102">
        <f>(77+85)/2</f>
        <v>81</v>
      </c>
      <c r="D184" s="52">
        <f>(C184*B184)</f>
        <v>4811574960</v>
      </c>
      <c r="E184" s="43">
        <f>(4.7+5.4)/2</f>
        <v>5.050000000000001</v>
      </c>
      <c r="F184" s="52">
        <f>(E184*B184)</f>
        <v>299980908.00000006</v>
      </c>
      <c r="G184" s="191" t="s">
        <v>1065</v>
      </c>
      <c r="H184" s="194">
        <f>(D184/1000000)</f>
        <v>4811.57496</v>
      </c>
      <c r="I184" s="191" t="s">
        <v>1065</v>
      </c>
      <c r="J184" s="194">
        <f>(F184/1000000)</f>
        <v>299.98090800000006</v>
      </c>
    </row>
    <row r="185" spans="1:10" ht="12.75">
      <c r="A185" s="43" t="s">
        <v>1066</v>
      </c>
      <c r="B185" s="43">
        <f>(1*'Rad Metals for SimaPro'!D61)</f>
        <v>23999999.999999996</v>
      </c>
      <c r="C185" s="102">
        <f>(77+85)/2</f>
        <v>81</v>
      </c>
      <c r="D185" s="52">
        <f>(C185*B185)</f>
        <v>1943999999.9999998</v>
      </c>
      <c r="E185" s="43">
        <f>(4.7+5.4)/2</f>
        <v>5.050000000000001</v>
      </c>
      <c r="F185" s="52">
        <f>(E185*B185)</f>
        <v>121200000</v>
      </c>
      <c r="G185" s="191" t="s">
        <v>1066</v>
      </c>
      <c r="H185" s="194">
        <f>(D185/1000000)</f>
        <v>1943.9999999999998</v>
      </c>
      <c r="I185" s="191" t="s">
        <v>1066</v>
      </c>
      <c r="J185" s="194">
        <f>(F185/1000000)</f>
        <v>121.2</v>
      </c>
    </row>
    <row r="186" spans="1:10" ht="12.75">
      <c r="A186" s="43" t="s">
        <v>131</v>
      </c>
      <c r="B186" s="43">
        <f>(1*'Rad Metals for SimaPro'!D62)</f>
        <v>36597840</v>
      </c>
      <c r="C186" s="102">
        <f>(77+85)/2</f>
        <v>81</v>
      </c>
      <c r="D186" s="52">
        <f>(C186*B186)</f>
        <v>2964425040</v>
      </c>
      <c r="E186" s="43">
        <f>(4.7+5.4)/2</f>
        <v>5.050000000000001</v>
      </c>
      <c r="F186" s="52">
        <f>(E186*B186)</f>
        <v>184819092.00000003</v>
      </c>
      <c r="G186" s="191" t="s">
        <v>131</v>
      </c>
      <c r="H186" s="194">
        <f>(D186/1000000)</f>
        <v>2964.42504</v>
      </c>
      <c r="I186" s="191" t="s">
        <v>131</v>
      </c>
      <c r="J186" s="194">
        <f>(F186/1000000)</f>
        <v>184.81909200000004</v>
      </c>
    </row>
    <row r="187" spans="1:10" ht="12.75">
      <c r="A187" s="120" t="s">
        <v>643</v>
      </c>
      <c r="B187" s="43"/>
      <c r="C187" s="202"/>
      <c r="D187" s="202">
        <f>SUM(D183:D186)</f>
        <v>12960000000</v>
      </c>
      <c r="E187" s="43"/>
      <c r="F187" s="202">
        <f>SUM(F183:F186)</f>
        <v>808000000.0000001</v>
      </c>
      <c r="G187" s="262"/>
      <c r="H187" s="263"/>
      <c r="I187" s="262"/>
      <c r="J187" s="263"/>
    </row>
    <row r="188" spans="1:10" ht="25.5">
      <c r="A188" s="55" t="s">
        <v>647</v>
      </c>
      <c r="B188" s="191">
        <f>(1*'Rad Metals for SimaPro'!D63)</f>
        <v>49000000</v>
      </c>
      <c r="C188" s="261">
        <f>(29+35+32+38)/4</f>
        <v>33.5</v>
      </c>
      <c r="D188" s="52">
        <f>(C188*B188)</f>
        <v>1641500000</v>
      </c>
      <c r="E188" s="73">
        <f>(2.2+2.8+1.95+2.3)/4</f>
        <v>2.3125</v>
      </c>
      <c r="F188" s="52">
        <f>(E188*B188)</f>
        <v>113312500</v>
      </c>
      <c r="G188" s="191" t="s">
        <v>132</v>
      </c>
      <c r="H188" s="194">
        <f>(D188/1000000)</f>
        <v>1641.5</v>
      </c>
      <c r="I188" s="191" t="s">
        <v>132</v>
      </c>
      <c r="J188" s="194">
        <f>(F188/1000000)</f>
        <v>113.3125</v>
      </c>
    </row>
    <row r="189" spans="1:10" ht="12.75">
      <c r="A189" s="43" t="s">
        <v>1067</v>
      </c>
      <c r="B189" s="191">
        <f>(1*'Rad Metals for SimaPro'!D64)</f>
        <v>270232820</v>
      </c>
      <c r="C189" s="261">
        <f>(29+35+32+38)/4</f>
        <v>33.5</v>
      </c>
      <c r="D189" s="52">
        <f>(C189*B189)</f>
        <v>9052799470</v>
      </c>
      <c r="E189" s="73">
        <f>(2.2+2.8+1.95+2.3)/4</f>
        <v>2.3125</v>
      </c>
      <c r="F189" s="52">
        <f>(E189*B189)</f>
        <v>624913396.25</v>
      </c>
      <c r="G189" s="191" t="s">
        <v>1067</v>
      </c>
      <c r="H189" s="194">
        <f>(D189/1000000)</f>
        <v>9052.79947</v>
      </c>
      <c r="I189" s="191" t="s">
        <v>1067</v>
      </c>
      <c r="J189" s="194">
        <f>(F189/1000000)</f>
        <v>624.91339625</v>
      </c>
    </row>
    <row r="190" spans="1:10" ht="12.75">
      <c r="A190" s="43" t="s">
        <v>134</v>
      </c>
      <c r="B190" s="191">
        <f>(1*'Rad Metals for SimaPro'!D65)</f>
        <v>85999999.99999999</v>
      </c>
      <c r="C190" s="261">
        <f>(29+35+32+38)/4</f>
        <v>33.5</v>
      </c>
      <c r="D190" s="52">
        <f>(C190*B190)</f>
        <v>2880999999.9999995</v>
      </c>
      <c r="E190" s="73">
        <f>(2.2+2.8+1.95+2.3)/4</f>
        <v>2.3125</v>
      </c>
      <c r="F190" s="52">
        <f>(E190*B190)</f>
        <v>198874999.99999997</v>
      </c>
      <c r="G190" s="191" t="s">
        <v>849</v>
      </c>
      <c r="H190" s="194">
        <f>(D190/1000000)</f>
        <v>2880.9999999999995</v>
      </c>
      <c r="I190" s="191" t="s">
        <v>849</v>
      </c>
      <c r="J190" s="194">
        <f>(F190/1000000)</f>
        <v>198.87499999999997</v>
      </c>
    </row>
    <row r="191" spans="1:10" ht="12.75">
      <c r="A191" s="43" t="s">
        <v>135</v>
      </c>
      <c r="B191" s="191">
        <f>(1*'Rad Metals for SimaPro'!D66)</f>
        <v>73767180</v>
      </c>
      <c r="C191" s="261">
        <f>(29+35+32+38)/4</f>
        <v>33.5</v>
      </c>
      <c r="D191" s="52">
        <f>(C191*B191)</f>
        <v>2471200530</v>
      </c>
      <c r="E191" s="73">
        <f>(2.2+2.8+1.95+2.3)/4</f>
        <v>2.3125</v>
      </c>
      <c r="F191" s="52">
        <f>(E191*B191)</f>
        <v>170586603.75</v>
      </c>
      <c r="G191" s="191" t="s">
        <v>135</v>
      </c>
      <c r="H191" s="194">
        <f>(D191/1000000)</f>
        <v>2471.20053</v>
      </c>
      <c r="I191" s="191" t="s">
        <v>135</v>
      </c>
      <c r="J191" s="194">
        <f>(F191/1000000)</f>
        <v>170.58660375</v>
      </c>
    </row>
    <row r="192" spans="1:10" ht="12.75">
      <c r="A192" s="120" t="s">
        <v>644</v>
      </c>
      <c r="B192" s="43"/>
      <c r="C192" s="202"/>
      <c r="D192" s="202">
        <f>SUM(D188:D191)</f>
        <v>16046500000</v>
      </c>
      <c r="E192" s="55"/>
      <c r="F192" s="202">
        <f>SUM(F188:F191)</f>
        <v>1107687500</v>
      </c>
      <c r="G192" s="262"/>
      <c r="H192" s="263"/>
      <c r="I192" s="262"/>
      <c r="J192" s="263"/>
    </row>
    <row r="193" spans="1:10" ht="12.75">
      <c r="A193" s="43" t="s">
        <v>341</v>
      </c>
      <c r="B193" s="43">
        <f>(1*'Rad Metals for SimaPro'!D67)</f>
        <v>48000</v>
      </c>
      <c r="C193" s="102">
        <f>(70+75)/2</f>
        <v>72.5</v>
      </c>
      <c r="D193" s="52">
        <f>(C193*B193)</f>
        <v>3480000</v>
      </c>
      <c r="E193" s="43">
        <f>(3.7+4)/2</f>
        <v>3.85</v>
      </c>
      <c r="F193" s="52">
        <f>(E193*B193)</f>
        <v>184800</v>
      </c>
      <c r="G193" s="191" t="s">
        <v>341</v>
      </c>
      <c r="H193" s="194">
        <f>(D193/1000000)</f>
        <v>3.48</v>
      </c>
      <c r="I193" s="191" t="s">
        <v>341</v>
      </c>
      <c r="J193" s="194">
        <f>(F193/1000000)</f>
        <v>0.1848</v>
      </c>
    </row>
    <row r="194" spans="1:10" ht="12.75">
      <c r="A194" s="43" t="s">
        <v>342</v>
      </c>
      <c r="B194" s="43">
        <f>(1*'Rad Metals for SimaPro'!D68)</f>
        <v>353000</v>
      </c>
      <c r="C194" s="102">
        <f>(70+75)/2</f>
        <v>72.5</v>
      </c>
      <c r="D194" s="52">
        <f>(C194*B194)</f>
        <v>25592500</v>
      </c>
      <c r="E194" s="43">
        <f>(3.7+4)/2</f>
        <v>3.85</v>
      </c>
      <c r="F194" s="52">
        <f>(E194*B194)</f>
        <v>1359050</v>
      </c>
      <c r="G194" s="191" t="s">
        <v>342</v>
      </c>
      <c r="H194" s="194">
        <f>(D194/1000000)</f>
        <v>25.5925</v>
      </c>
      <c r="I194" s="191" t="s">
        <v>342</v>
      </c>
      <c r="J194" s="194">
        <f>(F194/1000000)</f>
        <v>1.35905</v>
      </c>
    </row>
    <row r="195" spans="1:10" ht="12.75">
      <c r="A195" s="43" t="s">
        <v>343</v>
      </c>
      <c r="B195" s="43">
        <f>(1*'Rad Metals for SimaPro'!D69)</f>
        <v>14647340</v>
      </c>
      <c r="C195" s="102">
        <f>(70+75)/2</f>
        <v>72.5</v>
      </c>
      <c r="D195" s="52">
        <f>(C195*B195)</f>
        <v>1061932150</v>
      </c>
      <c r="E195" s="43">
        <f>(3.7+4)/2</f>
        <v>3.85</v>
      </c>
      <c r="F195" s="52">
        <f>(E195*B195)</f>
        <v>56392259</v>
      </c>
      <c r="G195" s="191" t="s">
        <v>343</v>
      </c>
      <c r="H195" s="194">
        <f>(D195/1000000)</f>
        <v>1061.93215</v>
      </c>
      <c r="I195" s="191" t="s">
        <v>343</v>
      </c>
      <c r="J195" s="194">
        <f>(F195/1000000)</f>
        <v>56.392259</v>
      </c>
    </row>
    <row r="196" spans="1:10" ht="12.75">
      <c r="A196" s="120" t="s">
        <v>645</v>
      </c>
      <c r="B196" s="43"/>
      <c r="C196" s="202"/>
      <c r="D196" s="202">
        <f>SUM(D193:D195)</f>
        <v>1091004650</v>
      </c>
      <c r="E196" s="43"/>
      <c r="F196" s="202">
        <f>SUM(F193:F195)</f>
        <v>57936109</v>
      </c>
      <c r="G196" s="262"/>
      <c r="H196" s="266"/>
      <c r="I196" s="262"/>
      <c r="J196" s="266"/>
    </row>
    <row r="197" ht="12.75">
      <c r="A197" s="190" t="s">
        <v>648</v>
      </c>
    </row>
    <row r="198" spans="7:10" ht="38.25">
      <c r="G198" s="44" t="s">
        <v>657</v>
      </c>
      <c r="H198" s="44" t="s">
        <v>649</v>
      </c>
      <c r="I198" s="44" t="s">
        <v>657</v>
      </c>
      <c r="J198" s="44" t="s">
        <v>651</v>
      </c>
    </row>
    <row r="199" spans="7:10" ht="12.75">
      <c r="G199" s="191" t="s">
        <v>656</v>
      </c>
      <c r="H199" s="194">
        <f>(H165+H164+H163)</f>
        <v>4004</v>
      </c>
      <c r="I199" s="191" t="s">
        <v>656</v>
      </c>
      <c r="J199" s="194">
        <f>(J165+J164+J163)</f>
        <v>218.4</v>
      </c>
    </row>
    <row r="200" spans="7:10" ht="12.75">
      <c r="G200" s="191" t="s">
        <v>198</v>
      </c>
      <c r="H200" s="194">
        <f>(H169+H168+H167)</f>
        <v>436.579</v>
      </c>
      <c r="I200" s="191" t="s">
        <v>198</v>
      </c>
      <c r="J200" s="194">
        <f>(J169+J168+J167)</f>
        <v>32.28225</v>
      </c>
    </row>
    <row r="201" spans="7:10" ht="12.75">
      <c r="G201" s="191" t="s">
        <v>1032</v>
      </c>
      <c r="H201" s="194">
        <f>(H181+H180+H179)</f>
        <v>5727.4771200000005</v>
      </c>
      <c r="I201" s="191" t="s">
        <v>1032</v>
      </c>
      <c r="J201" s="194">
        <f>(J181+J180+J179)</f>
        <v>447.45915</v>
      </c>
    </row>
    <row r="202" spans="7:10" ht="12.75">
      <c r="G202" s="264" t="s">
        <v>199</v>
      </c>
      <c r="H202" s="265">
        <f>(H173+H172+H171)</f>
        <v>610.611</v>
      </c>
      <c r="I202" s="264" t="s">
        <v>199</v>
      </c>
      <c r="J202" s="265">
        <f>(J173+J172+J171)</f>
        <v>38.507000000000005</v>
      </c>
    </row>
    <row r="203" spans="7:10" ht="12.75">
      <c r="G203" s="191" t="s">
        <v>1031</v>
      </c>
      <c r="H203" s="194">
        <f>(H175+H176+H177)</f>
        <v>1435.392</v>
      </c>
      <c r="I203" s="191" t="s">
        <v>1031</v>
      </c>
      <c r="J203" s="194">
        <f>(J175+J176+J177)</f>
        <v>89.83296</v>
      </c>
    </row>
    <row r="204" spans="7:10" ht="12.75">
      <c r="G204" s="191" t="s">
        <v>284</v>
      </c>
      <c r="H204" s="194">
        <f>(H186+H185+H184+H183)</f>
        <v>12960</v>
      </c>
      <c r="I204" s="191" t="s">
        <v>284</v>
      </c>
      <c r="J204" s="194">
        <f>(J186+J185+J184+J183)</f>
        <v>808.0000000000001</v>
      </c>
    </row>
    <row r="205" spans="7:10" ht="12.75">
      <c r="G205" s="191" t="s">
        <v>850</v>
      </c>
      <c r="H205" s="194">
        <f>(H191+H190+H189+H188)</f>
        <v>16046.5</v>
      </c>
      <c r="I205" s="191" t="s">
        <v>850</v>
      </c>
      <c r="J205" s="194">
        <f>(J191+J190+J189+J188)</f>
        <v>1107.6875</v>
      </c>
    </row>
    <row r="206" spans="7:10" ht="12.75">
      <c r="G206" s="191" t="s">
        <v>658</v>
      </c>
      <c r="H206" s="194">
        <f>(H195+H194+H193)</f>
        <v>1091.00465</v>
      </c>
      <c r="I206" s="191" t="s">
        <v>658</v>
      </c>
      <c r="J206" s="194">
        <f>(J195+J194+J193)</f>
        <v>57.93610900000001</v>
      </c>
    </row>
    <row r="208" spans="7:9" ht="51">
      <c r="G208" s="44" t="s">
        <v>657</v>
      </c>
      <c r="H208" s="44" t="s">
        <v>251</v>
      </c>
      <c r="I208" s="44" t="s">
        <v>252</v>
      </c>
    </row>
    <row r="209" spans="7:9" ht="12.75">
      <c r="G209" s="191" t="s">
        <v>656</v>
      </c>
      <c r="H209" s="45">
        <f>SUM(H117:H119)</f>
        <v>354.9</v>
      </c>
      <c r="I209" s="45">
        <f>SUM(H163:H165)</f>
        <v>4004</v>
      </c>
    </row>
    <row r="210" spans="7:9" ht="12.75">
      <c r="G210" s="191" t="s">
        <v>198</v>
      </c>
      <c r="H210" s="45">
        <f>SUM(H121:H123)</f>
        <v>109.14475</v>
      </c>
      <c r="I210" s="45">
        <f>SUM(H167:H169)</f>
        <v>436.579</v>
      </c>
    </row>
    <row r="211" spans="7:9" ht="12.75">
      <c r="G211" s="191" t="s">
        <v>1032</v>
      </c>
      <c r="H211" s="45">
        <f>SUM(H133:H135)</f>
        <v>1601.9037569999998</v>
      </c>
      <c r="I211" s="45">
        <f>SUM(H179:H181)</f>
        <v>5727.4771200000005</v>
      </c>
    </row>
    <row r="212" spans="7:9" ht="12.75">
      <c r="G212" s="264" t="s">
        <v>199</v>
      </c>
      <c r="H212" s="45">
        <f>SUM(H125:H127)</f>
        <v>96.8176</v>
      </c>
      <c r="I212" s="45">
        <f>SUM(H171:H173)</f>
        <v>610.611</v>
      </c>
    </row>
    <row r="213" spans="7:9" ht="12.75">
      <c r="G213" s="191" t="s">
        <v>1031</v>
      </c>
      <c r="H213" s="45">
        <f>SUM(H129:H131)</f>
        <v>359.1168</v>
      </c>
      <c r="I213" s="45">
        <f>SUM(H175:H177)</f>
        <v>1435.392</v>
      </c>
    </row>
    <row r="214" spans="7:9" ht="12.75">
      <c r="G214" s="191" t="s">
        <v>284</v>
      </c>
      <c r="H214" s="45">
        <f>SUM(H137:H140)</f>
        <v>3680</v>
      </c>
      <c r="I214" s="45">
        <f>SUM(H183:H186)</f>
        <v>12960</v>
      </c>
    </row>
    <row r="215" spans="7:9" ht="12.75">
      <c r="G215" s="191" t="s">
        <v>850</v>
      </c>
      <c r="H215" s="45">
        <f>SUM(H142:H145)</f>
        <v>4538.525</v>
      </c>
      <c r="I215" s="45">
        <f>SUM(H188:H191)</f>
        <v>16046.5</v>
      </c>
    </row>
    <row r="216" spans="7:9" ht="12.75">
      <c r="G216" s="191" t="s">
        <v>658</v>
      </c>
      <c r="H216" s="45">
        <f>SUM(H147:H149)</f>
        <v>196.38083699999999</v>
      </c>
      <c r="I216" s="45">
        <f>SUM(H193:H195)</f>
        <v>1091.00465</v>
      </c>
    </row>
    <row r="218" spans="7:9" ht="51">
      <c r="G218" s="44" t="s">
        <v>657</v>
      </c>
      <c r="H218" s="44" t="s">
        <v>253</v>
      </c>
      <c r="I218" s="44" t="s">
        <v>254</v>
      </c>
    </row>
    <row r="219" spans="7:9" ht="12.75">
      <c r="G219" s="191" t="s">
        <v>656</v>
      </c>
      <c r="H219" s="45">
        <f>SUM(J117:J119)</f>
        <v>20.93</v>
      </c>
      <c r="I219" s="45">
        <f>SUM(J163:J165)</f>
        <v>218.4</v>
      </c>
    </row>
    <row r="220" spans="7:9" ht="12.75">
      <c r="G220" s="191" t="s">
        <v>198</v>
      </c>
      <c r="H220" s="45">
        <f>SUM(J121:J123)</f>
        <v>7.993699999999998</v>
      </c>
      <c r="I220" s="45">
        <f>SUM(J167:J169)</f>
        <v>32.28225</v>
      </c>
    </row>
    <row r="221" spans="7:9" ht="12.75">
      <c r="G221" s="191" t="s">
        <v>1032</v>
      </c>
      <c r="H221" s="45">
        <f>SUM(J133:J135)</f>
        <v>125.28856199999998</v>
      </c>
      <c r="I221" s="45">
        <f>SUM(J179:J181)</f>
        <v>447.45915</v>
      </c>
    </row>
    <row r="222" spans="7:9" ht="12.75">
      <c r="G222" s="264" t="s">
        <v>199</v>
      </c>
      <c r="H222" s="45">
        <f>SUM(J125:J127)</f>
        <v>5.33597</v>
      </c>
      <c r="I222" s="45">
        <f>SUM(J171:J173)</f>
        <v>38.507</v>
      </c>
    </row>
    <row r="223" spans="7:9" ht="12.75">
      <c r="G223" s="191" t="s">
        <v>1031</v>
      </c>
      <c r="H223" s="45">
        <f>SUM(J129:J131)</f>
        <v>22.47168</v>
      </c>
      <c r="I223" s="45">
        <f>SUM(J175:J177)</f>
        <v>89.83296</v>
      </c>
    </row>
    <row r="224" spans="7:9" ht="12.75">
      <c r="G224" s="191" t="s">
        <v>284</v>
      </c>
      <c r="H224" s="45">
        <f>SUM(J137:J140)</f>
        <v>231.99999999999997</v>
      </c>
      <c r="I224" s="45">
        <f>SUM(J183:J186)</f>
        <v>808.0000000000002</v>
      </c>
    </row>
    <row r="225" spans="7:9" ht="12.75">
      <c r="G225" s="191" t="s">
        <v>850</v>
      </c>
      <c r="H225" s="45">
        <f>SUM(J142:J145)</f>
        <v>310.1525</v>
      </c>
      <c r="I225" s="45">
        <f>SUM(J188:J191)</f>
        <v>1107.6875</v>
      </c>
    </row>
    <row r="226" spans="7:9" ht="12.75">
      <c r="G226" s="191" t="s">
        <v>658</v>
      </c>
      <c r="H226" s="45">
        <f>SUM(J147:J149)</f>
        <v>10.3833546</v>
      </c>
      <c r="I226" s="45">
        <f>SUM(J193:J195)</f>
        <v>57.936109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F1">
      <selection activeCell="A11" sqref="A11"/>
    </sheetView>
  </sheetViews>
  <sheetFormatPr defaultColWidth="11.421875" defaultRowHeight="12.75"/>
  <cols>
    <col min="1" max="1" width="27.28125" style="0" customWidth="1"/>
    <col min="2" max="2" width="13.140625" style="0" customWidth="1"/>
    <col min="3" max="3" width="13.7109375" style="0" customWidth="1"/>
    <col min="4" max="4" width="11.8515625" style="0" customWidth="1"/>
    <col min="5" max="5" width="14.28125" style="0" customWidth="1"/>
    <col min="9" max="9" width="27.28125" style="0" customWidth="1"/>
  </cols>
  <sheetData>
    <row r="1" spans="1:2" ht="25.5">
      <c r="A1" s="4" t="s">
        <v>519</v>
      </c>
      <c r="B1" s="5" t="s">
        <v>520</v>
      </c>
    </row>
    <row r="2" spans="1:2" ht="12.75">
      <c r="A2" s="4" t="s">
        <v>601</v>
      </c>
      <c r="B2" s="5" t="s">
        <v>23</v>
      </c>
    </row>
    <row r="3" spans="1:2" ht="12.75">
      <c r="A3" s="4" t="s">
        <v>602</v>
      </c>
      <c r="B3" s="11">
        <v>40933</v>
      </c>
    </row>
    <row r="4" spans="1:2" ht="12.75">
      <c r="A4" s="4" t="s">
        <v>603</v>
      </c>
      <c r="B4" s="5" t="s">
        <v>522</v>
      </c>
    </row>
    <row r="5" ht="27" customHeight="1">
      <c r="A5" s="4" t="s">
        <v>604</v>
      </c>
    </row>
    <row r="6" spans="1:5" ht="13.5" customHeight="1">
      <c r="A6" s="4"/>
      <c r="B6" s="4" t="s">
        <v>509</v>
      </c>
      <c r="C6" s="1" t="s">
        <v>510</v>
      </c>
      <c r="D6" s="1" t="s">
        <v>285</v>
      </c>
      <c r="E6" s="1" t="s">
        <v>512</v>
      </c>
    </row>
    <row r="7" spans="1:5" ht="29.25" customHeight="1">
      <c r="A7" s="4" t="s">
        <v>287</v>
      </c>
      <c r="B7" s="3">
        <f>(1*'Rad Metals for SimaPro'!B11)</f>
        <v>300000</v>
      </c>
      <c r="C7" s="12">
        <f>(1*'Rad Metals for SimaPro'!C11)-D7</f>
        <v>4324819.85</v>
      </c>
      <c r="D7" s="3">
        <f>(1*'Rad Metals for SimaPro'!E39)</f>
        <v>375180.15</v>
      </c>
      <c r="E7" s="5" t="s">
        <v>50</v>
      </c>
    </row>
    <row r="8" spans="1:5" ht="37.5" customHeight="1">
      <c r="A8" s="4" t="s">
        <v>288</v>
      </c>
      <c r="B8" s="3">
        <f>(1*'Rad Metals for SimaPro'!B9)</f>
        <v>102000</v>
      </c>
      <c r="C8" s="3">
        <f>(1*'Rad Metals for SimaPro'!C9)-D8</f>
        <v>631912.68</v>
      </c>
      <c r="D8" s="3">
        <f>(1*'Rad Metals for SimaPro'!E36)</f>
        <v>145222.31999999998</v>
      </c>
      <c r="E8" s="5" t="s">
        <v>511</v>
      </c>
    </row>
    <row r="9" spans="1:4" ht="12.75">
      <c r="A9" s="4" t="s">
        <v>508</v>
      </c>
      <c r="B9" s="13">
        <f>(B8/B7)</f>
        <v>0.34</v>
      </c>
      <c r="C9" s="13">
        <f>(C8/C7)</f>
        <v>0.14611306410832353</v>
      </c>
      <c r="D9" s="13">
        <f>(D8/D7)</f>
        <v>0.3870735698570406</v>
      </c>
    </row>
    <row r="11" ht="20.25">
      <c r="A11" s="31" t="s">
        <v>128</v>
      </c>
    </row>
    <row r="12" spans="1:11" ht="65.25" customHeight="1">
      <c r="A12" s="4" t="s">
        <v>177</v>
      </c>
      <c r="B12" s="4" t="s">
        <v>57</v>
      </c>
      <c r="C12" s="4" t="s">
        <v>440</v>
      </c>
      <c r="D12" s="4" t="s">
        <v>178</v>
      </c>
      <c r="E12" s="4" t="s">
        <v>225</v>
      </c>
      <c r="F12" s="4" t="s">
        <v>820</v>
      </c>
      <c r="G12" s="4" t="s">
        <v>731</v>
      </c>
      <c r="I12" s="4" t="s">
        <v>788</v>
      </c>
      <c r="J12" s="4" t="s">
        <v>794</v>
      </c>
      <c r="K12" s="4"/>
    </row>
    <row r="13" spans="1:11" ht="24.75" customHeight="1">
      <c r="A13" t="s">
        <v>495</v>
      </c>
      <c r="B13" s="3">
        <v>78.7</v>
      </c>
      <c r="C13" t="s">
        <v>284</v>
      </c>
      <c r="D13">
        <f>(1*Packages!$F$11)</f>
        <v>3000</v>
      </c>
      <c r="E13" s="3">
        <f>(D13*B13)</f>
        <v>236100</v>
      </c>
      <c r="F13" s="19">
        <f>(E13*'Eco indicator Points'!$B$7)</f>
        <v>214851000</v>
      </c>
      <c r="G13" s="19">
        <f>(F13*$B$9)</f>
        <v>73049340</v>
      </c>
      <c r="I13" t="s">
        <v>495</v>
      </c>
      <c r="J13" s="19">
        <f>(D13*'Eco indicator Points'!$B$7)/1000</f>
        <v>2730</v>
      </c>
      <c r="K13" s="19"/>
    </row>
    <row r="14" spans="1:11" ht="14.25">
      <c r="A14" s="16" t="s">
        <v>82</v>
      </c>
      <c r="B14" s="17">
        <f>(1*B13)</f>
        <v>78.7</v>
      </c>
      <c r="C14" s="16" t="s">
        <v>226</v>
      </c>
      <c r="D14" s="16">
        <f>(1.1*$B$76)</f>
        <v>1364</v>
      </c>
      <c r="E14" s="17">
        <f aca="true" t="shared" si="0" ref="E14:E59">(D14*B14)</f>
        <v>107346.8</v>
      </c>
      <c r="F14" s="20">
        <f>(E14*'Eco indicator Points'!$B$58)</f>
        <v>2146936</v>
      </c>
      <c r="G14" s="20">
        <f aca="true" t="shared" si="1" ref="G14:G45">(F14*$B$9)</f>
        <v>729958.2400000001</v>
      </c>
      <c r="I14" s="16" t="s">
        <v>82</v>
      </c>
      <c r="J14" s="20">
        <f>(D14*'Eco indicator Points'!$B$58)/1000</f>
        <v>27.28</v>
      </c>
      <c r="K14" s="20"/>
    </row>
    <row r="15" spans="1:11" ht="12.75">
      <c r="A15" t="s">
        <v>497</v>
      </c>
      <c r="B15" s="3">
        <v>76.8</v>
      </c>
      <c r="C15" t="s">
        <v>284</v>
      </c>
      <c r="D15">
        <f>(1*Packages!$F$12)</f>
        <v>3000</v>
      </c>
      <c r="E15" s="3">
        <f t="shared" si="0"/>
        <v>230400</v>
      </c>
      <c r="F15" s="19">
        <f>(E15*'Eco indicator Points'!$B$7)</f>
        <v>209664000</v>
      </c>
      <c r="G15" s="19">
        <f t="shared" si="1"/>
        <v>71285760</v>
      </c>
      <c r="I15" t="s">
        <v>497</v>
      </c>
      <c r="J15" s="19">
        <f>(D15*'Eco indicator Points'!$B$7)/1000</f>
        <v>2730</v>
      </c>
      <c r="K15" s="19"/>
    </row>
    <row r="16" spans="1:11" ht="14.25">
      <c r="A16" s="16" t="s">
        <v>227</v>
      </c>
      <c r="B16" s="17">
        <f>(1*B15)</f>
        <v>76.8</v>
      </c>
      <c r="C16" s="16" t="s">
        <v>226</v>
      </c>
      <c r="D16" s="16">
        <f>(3*$B$76)</f>
        <v>3720</v>
      </c>
      <c r="E16" s="17">
        <f t="shared" si="0"/>
        <v>285696</v>
      </c>
      <c r="F16" s="20">
        <f>(E16*'Eco indicator Points'!$B$58)</f>
        <v>5713920</v>
      </c>
      <c r="G16" s="20">
        <f t="shared" si="1"/>
        <v>1942732.8</v>
      </c>
      <c r="I16" s="16" t="s">
        <v>227</v>
      </c>
      <c r="J16" s="20">
        <f>(D16*'Eco indicator Points'!$B$58)/1000</f>
        <v>74.4</v>
      </c>
      <c r="K16" s="20"/>
    </row>
    <row r="17" spans="1:11" ht="12.75">
      <c r="A17" t="s">
        <v>498</v>
      </c>
      <c r="B17" s="3">
        <v>92.4</v>
      </c>
      <c r="C17" t="s">
        <v>284</v>
      </c>
      <c r="D17">
        <f>(1*Packages!$F$10)</f>
        <v>3000</v>
      </c>
      <c r="E17" s="3">
        <f t="shared" si="0"/>
        <v>277200</v>
      </c>
      <c r="F17" s="19">
        <f>(E17*'Eco indicator Points'!$B$7)</f>
        <v>252252000</v>
      </c>
      <c r="G17" s="19">
        <f t="shared" si="1"/>
        <v>85765680</v>
      </c>
      <c r="I17" t="s">
        <v>498</v>
      </c>
      <c r="J17" s="19">
        <f>(D17*'Eco indicator Points'!$B$7)/1000</f>
        <v>2730</v>
      </c>
      <c r="K17" s="19"/>
    </row>
    <row r="18" spans="1:11" ht="12.75">
      <c r="A18" t="s">
        <v>397</v>
      </c>
      <c r="B18" s="3">
        <v>19</v>
      </c>
      <c r="C18" s="18" t="s">
        <v>284</v>
      </c>
      <c r="D18">
        <f>(1*Packages!$F$11)</f>
        <v>3000</v>
      </c>
      <c r="E18" s="3">
        <f t="shared" si="0"/>
        <v>57000</v>
      </c>
      <c r="F18" s="19">
        <f>(E18*'Eco indicator Points'!$B$7)</f>
        <v>51870000</v>
      </c>
      <c r="G18" s="19">
        <f t="shared" si="1"/>
        <v>17635800</v>
      </c>
      <c r="I18" t="s">
        <v>397</v>
      </c>
      <c r="J18" s="19">
        <f>(D18*'Eco indicator Points'!$B$7)/1000</f>
        <v>2730</v>
      </c>
      <c r="K18" s="19"/>
    </row>
    <row r="19" spans="1:11" ht="14.25">
      <c r="A19" s="16" t="s">
        <v>228</v>
      </c>
      <c r="B19" s="17">
        <v>19</v>
      </c>
      <c r="C19" s="16" t="s">
        <v>226</v>
      </c>
      <c r="D19" s="16">
        <f>(1.65*$B$76)</f>
        <v>2046</v>
      </c>
      <c r="E19" s="17">
        <f t="shared" si="0"/>
        <v>38874</v>
      </c>
      <c r="F19" s="20">
        <f>(E19*'Eco indicator Points'!$B$58)</f>
        <v>777480</v>
      </c>
      <c r="G19" s="20">
        <f t="shared" si="1"/>
        <v>264343.2</v>
      </c>
      <c r="I19" s="16" t="s">
        <v>228</v>
      </c>
      <c r="J19" s="20">
        <f>(D19*'Eco indicator Points'!$B$58)/1000</f>
        <v>40.92</v>
      </c>
      <c r="K19" s="20"/>
    </row>
    <row r="20" spans="1:11" ht="12.75">
      <c r="A20" t="s">
        <v>398</v>
      </c>
      <c r="B20" s="3">
        <v>3359.8</v>
      </c>
      <c r="C20" t="s">
        <v>613</v>
      </c>
      <c r="D20">
        <f>(1*Packages!$F$4)</f>
        <v>733.6</v>
      </c>
      <c r="E20" s="3">
        <f t="shared" si="0"/>
        <v>2464749.2800000003</v>
      </c>
      <c r="F20" s="19">
        <f>(E20*'Eco indicator Points'!$B$7)</f>
        <v>2242921844.8</v>
      </c>
      <c r="G20" s="19">
        <f t="shared" si="1"/>
        <v>762593427.2320001</v>
      </c>
      <c r="I20" t="s">
        <v>398</v>
      </c>
      <c r="J20" s="19">
        <f>(D20*'Eco indicator Points'!$B$7)/1000</f>
        <v>667.576</v>
      </c>
      <c r="K20" s="19"/>
    </row>
    <row r="21" spans="1:11" ht="12.75">
      <c r="A21" t="s">
        <v>399</v>
      </c>
      <c r="B21" s="3">
        <v>272.7</v>
      </c>
      <c r="C21" t="s">
        <v>614</v>
      </c>
      <c r="D21">
        <f>(1*Packages!$F$4)</f>
        <v>733.6</v>
      </c>
      <c r="E21" s="3">
        <f t="shared" si="0"/>
        <v>200052.72</v>
      </c>
      <c r="F21" s="19">
        <f>(E21*'Eco indicator Points'!$B$7)</f>
        <v>182047975.2</v>
      </c>
      <c r="G21" s="19">
        <f t="shared" si="1"/>
        <v>61896311.568</v>
      </c>
      <c r="I21" t="s">
        <v>399</v>
      </c>
      <c r="J21" s="19">
        <f>(D21*'Eco indicator Points'!$B$7)/1000</f>
        <v>667.576</v>
      </c>
      <c r="K21" s="19"/>
    </row>
    <row r="22" spans="1:11" ht="12.75">
      <c r="A22" t="s">
        <v>400</v>
      </c>
      <c r="B22" s="3">
        <v>1319.5</v>
      </c>
      <c r="C22" t="s">
        <v>614</v>
      </c>
      <c r="D22">
        <f>(1*Packages!$F$5)</f>
        <v>633.6</v>
      </c>
      <c r="E22" s="3">
        <f t="shared" si="0"/>
        <v>836035.2000000001</v>
      </c>
      <c r="F22" s="19">
        <f>(E22*'Eco indicator Points'!$B$7)</f>
        <v>760792032.0000001</v>
      </c>
      <c r="G22" s="19">
        <f t="shared" si="1"/>
        <v>258669290.88000005</v>
      </c>
      <c r="I22" t="s">
        <v>400</v>
      </c>
      <c r="J22" s="19">
        <f>(D22*'Eco indicator Points'!$B$7)/1000</f>
        <v>576.576</v>
      </c>
      <c r="K22" s="19"/>
    </row>
    <row r="23" spans="1:11" ht="12.75">
      <c r="A23" t="s">
        <v>401</v>
      </c>
      <c r="B23" s="3">
        <v>384.7</v>
      </c>
      <c r="C23" t="s">
        <v>614</v>
      </c>
      <c r="D23">
        <f>(1*Packages!$F$5)</f>
        <v>633.6</v>
      </c>
      <c r="E23" s="3">
        <f t="shared" si="0"/>
        <v>243745.92</v>
      </c>
      <c r="F23" s="19">
        <f>(E23*'Eco indicator Points'!$B$7)</f>
        <v>221808787.20000002</v>
      </c>
      <c r="G23" s="19">
        <f t="shared" si="1"/>
        <v>75414987.64800002</v>
      </c>
      <c r="I23" t="s">
        <v>401</v>
      </c>
      <c r="J23" s="19">
        <f>(D23*'Eco indicator Points'!$B$7)/1000</f>
        <v>576.576</v>
      </c>
      <c r="K23" s="19"/>
    </row>
    <row r="24" spans="1:11" ht="12.75">
      <c r="A24" t="s">
        <v>402</v>
      </c>
      <c r="B24" s="3">
        <v>2569.4</v>
      </c>
      <c r="C24" t="s">
        <v>284</v>
      </c>
      <c r="D24">
        <f>(1*Packages!$F$7)</f>
        <v>4200</v>
      </c>
      <c r="E24" s="3">
        <f t="shared" si="0"/>
        <v>10791480</v>
      </c>
      <c r="F24" s="19">
        <f>(E24*'Eco indicator Points'!$B$7)</f>
        <v>9820246800</v>
      </c>
      <c r="G24" s="19">
        <f t="shared" si="1"/>
        <v>3338883912.0000005</v>
      </c>
      <c r="I24" t="s">
        <v>402</v>
      </c>
      <c r="J24" s="19">
        <f>(D24*'Eco indicator Points'!$B$7)/1000</f>
        <v>3822</v>
      </c>
      <c r="K24" s="19"/>
    </row>
    <row r="25" spans="1:11" ht="14.25">
      <c r="A25" s="16" t="s">
        <v>83</v>
      </c>
      <c r="B25" s="17">
        <f>(1*B24)</f>
        <v>2569.4</v>
      </c>
      <c r="C25" s="16" t="s">
        <v>226</v>
      </c>
      <c r="D25" s="16">
        <f>(3*$B$76)</f>
        <v>3720</v>
      </c>
      <c r="E25" s="17">
        <f t="shared" si="0"/>
        <v>9558168</v>
      </c>
      <c r="F25" s="20">
        <f>(E25*'Eco indicator Points'!$B$58)</f>
        <v>191163360</v>
      </c>
      <c r="G25" s="20">
        <f t="shared" si="1"/>
        <v>64995542.400000006</v>
      </c>
      <c r="I25" s="16" t="s">
        <v>83</v>
      </c>
      <c r="J25" s="20">
        <f>(D25*'Eco indicator Points'!$B$58)/1000</f>
        <v>74.4</v>
      </c>
      <c r="K25" s="20"/>
    </row>
    <row r="26" spans="1:11" ht="12.75">
      <c r="A26" t="s">
        <v>403</v>
      </c>
      <c r="B26" s="3">
        <v>858.8</v>
      </c>
      <c r="C26" t="s">
        <v>284</v>
      </c>
      <c r="D26">
        <f>(1*Packages!$F$8)</f>
        <v>4200</v>
      </c>
      <c r="E26" s="3">
        <f t="shared" si="0"/>
        <v>3606960</v>
      </c>
      <c r="F26" s="19">
        <f>(E26*'Eco indicator Points'!$B$7)</f>
        <v>3282333600</v>
      </c>
      <c r="G26" s="19">
        <f t="shared" si="1"/>
        <v>1115993424</v>
      </c>
      <c r="I26" t="s">
        <v>403</v>
      </c>
      <c r="J26" s="19">
        <f>(D26*'Eco indicator Points'!$B$7)/1000</f>
        <v>3822</v>
      </c>
      <c r="K26" s="19"/>
    </row>
    <row r="27" spans="1:11" ht="14.25">
      <c r="A27" s="16" t="s">
        <v>84</v>
      </c>
      <c r="B27" s="17">
        <f>(1*B26)</f>
        <v>858.8</v>
      </c>
      <c r="C27" s="16" t="s">
        <v>226</v>
      </c>
      <c r="D27" s="16">
        <f>(5.5*$B$76)</f>
        <v>6820</v>
      </c>
      <c r="E27" s="17">
        <f t="shared" si="0"/>
        <v>5857016</v>
      </c>
      <c r="F27" s="20">
        <f>(E27*'Eco indicator Points'!$B$58)</f>
        <v>117140320</v>
      </c>
      <c r="G27" s="20">
        <f t="shared" si="1"/>
        <v>39827708.800000004</v>
      </c>
      <c r="I27" s="16" t="s">
        <v>84</v>
      </c>
      <c r="J27" s="20">
        <f>(D27*'Eco indicator Points'!$B$58)/1000</f>
        <v>136.4</v>
      </c>
      <c r="K27" s="20"/>
    </row>
    <row r="28" spans="1:11" ht="12.75">
      <c r="A28" t="s">
        <v>235</v>
      </c>
      <c r="B28" s="3">
        <v>81.8</v>
      </c>
      <c r="C28" t="s">
        <v>284</v>
      </c>
      <c r="D28">
        <f>(1*Packages!$F$9)</f>
        <v>4200</v>
      </c>
      <c r="E28" s="3">
        <f t="shared" si="0"/>
        <v>343560</v>
      </c>
      <c r="F28" s="19">
        <f>(E28*'Eco indicator Points'!$B$7)</f>
        <v>312639600</v>
      </c>
      <c r="G28" s="19">
        <f t="shared" si="1"/>
        <v>106297464.00000001</v>
      </c>
      <c r="I28" t="s">
        <v>235</v>
      </c>
      <c r="J28" s="19">
        <f>(D28*'Eco indicator Points'!$B$7)/1000</f>
        <v>3822</v>
      </c>
      <c r="K28" s="19"/>
    </row>
    <row r="29" spans="1:11" ht="14.25">
      <c r="A29" s="16" t="s">
        <v>85</v>
      </c>
      <c r="B29" s="17">
        <f>(1*B28)</f>
        <v>81.8</v>
      </c>
      <c r="C29" s="16" t="s">
        <v>226</v>
      </c>
      <c r="D29" s="16">
        <f>(8.4*$B$76)</f>
        <v>10416</v>
      </c>
      <c r="E29" s="17">
        <f t="shared" si="0"/>
        <v>852028.7999999999</v>
      </c>
      <c r="F29" s="20">
        <f>(E29*'Eco indicator Points'!$B$58)</f>
        <v>17040576</v>
      </c>
      <c r="G29" s="20">
        <f t="shared" si="1"/>
        <v>5793795.840000001</v>
      </c>
      <c r="I29" s="16" t="s">
        <v>85</v>
      </c>
      <c r="J29" s="20">
        <f>(D29*'Eco indicator Points'!$B$58)/1000</f>
        <v>208.32</v>
      </c>
      <c r="K29" s="20"/>
    </row>
    <row r="30" spans="1:11" ht="12.75">
      <c r="A30" t="s">
        <v>236</v>
      </c>
      <c r="B30" s="3">
        <v>2678.3</v>
      </c>
      <c r="C30" t="s">
        <v>284</v>
      </c>
      <c r="D30">
        <f>(1*Packages!$F$6)</f>
        <v>4200</v>
      </c>
      <c r="E30" s="3">
        <f t="shared" si="0"/>
        <v>11248860</v>
      </c>
      <c r="F30" s="19">
        <f>(E30*'Eco indicator Points'!$B$7)</f>
        <v>10236462600</v>
      </c>
      <c r="G30" s="19">
        <f t="shared" si="1"/>
        <v>3480397284.0000005</v>
      </c>
      <c r="I30" t="s">
        <v>236</v>
      </c>
      <c r="J30" s="19">
        <f>(D30*'Eco indicator Points'!$B$7)/1000</f>
        <v>3822</v>
      </c>
      <c r="K30" s="19"/>
    </row>
    <row r="31" spans="1:11" ht="14.25">
      <c r="A31" t="s">
        <v>237</v>
      </c>
      <c r="B31" s="3">
        <v>107978.7</v>
      </c>
      <c r="C31" t="s">
        <v>179</v>
      </c>
      <c r="D31">
        <f>(1*Packages!$F$3)</f>
        <v>135</v>
      </c>
      <c r="E31" s="3">
        <f t="shared" si="0"/>
        <v>14577124.5</v>
      </c>
      <c r="F31" s="19">
        <f>(E31*'Eco indicator Points'!$B$7)</f>
        <v>13265183295</v>
      </c>
      <c r="G31" s="19">
        <f t="shared" si="1"/>
        <v>4510162320.3</v>
      </c>
      <c r="I31" t="s">
        <v>237</v>
      </c>
      <c r="J31" s="19">
        <f>(D31*'Eco indicator Points'!$B$7)/1000</f>
        <v>122.85</v>
      </c>
      <c r="K31" s="19"/>
    </row>
    <row r="32" spans="1:11" ht="14.25">
      <c r="A32" t="s">
        <v>238</v>
      </c>
      <c r="B32" s="3">
        <v>25080</v>
      </c>
      <c r="C32" t="s">
        <v>179</v>
      </c>
      <c r="D32">
        <f>(1*Packages!$F$3)</f>
        <v>135</v>
      </c>
      <c r="E32" s="3">
        <f t="shared" si="0"/>
        <v>3385800</v>
      </c>
      <c r="F32" s="19">
        <f>(E32*'Eco indicator Points'!$B$7)</f>
        <v>3081078000</v>
      </c>
      <c r="G32" s="19">
        <f t="shared" si="1"/>
        <v>1047566520.0000001</v>
      </c>
      <c r="I32" t="s">
        <v>238</v>
      </c>
      <c r="J32" s="19">
        <f>(D32*'Eco indicator Points'!$B$7)/1000</f>
        <v>122.85</v>
      </c>
      <c r="K32" s="19"/>
    </row>
    <row r="33" spans="1:11" ht="14.25">
      <c r="A33" t="s">
        <v>543</v>
      </c>
      <c r="B33" s="3">
        <v>5375.3</v>
      </c>
      <c r="C33" t="s">
        <v>179</v>
      </c>
      <c r="D33">
        <f>(1*Packages!$F$3)</f>
        <v>135</v>
      </c>
      <c r="E33" s="3">
        <f t="shared" si="0"/>
        <v>725665.5</v>
      </c>
      <c r="F33" s="19">
        <f>(E33*'Eco indicator Points'!$B$7)</f>
        <v>660355605</v>
      </c>
      <c r="G33" s="19">
        <f t="shared" si="1"/>
        <v>224520905.70000002</v>
      </c>
      <c r="I33" t="s">
        <v>543</v>
      </c>
      <c r="J33" s="19">
        <f>(D33*'Eco indicator Points'!$B$7)/1000</f>
        <v>122.85</v>
      </c>
      <c r="K33" s="19"/>
    </row>
    <row r="34" spans="1:11" ht="14.25">
      <c r="A34" t="s">
        <v>544</v>
      </c>
      <c r="B34" s="3">
        <v>110</v>
      </c>
      <c r="C34" t="s">
        <v>179</v>
      </c>
      <c r="D34">
        <f>(1*Packages!$F$3)</f>
        <v>135</v>
      </c>
      <c r="E34" s="3">
        <f t="shared" si="0"/>
        <v>14850</v>
      </c>
      <c r="F34" s="19">
        <f>(E34*'Eco indicator Points'!$B$7)</f>
        <v>13513500</v>
      </c>
      <c r="G34" s="19">
        <f t="shared" si="1"/>
        <v>4594590</v>
      </c>
      <c r="I34" t="s">
        <v>544</v>
      </c>
      <c r="J34" s="19">
        <f>(D34*'Eco indicator Points'!$B$7)/1000</f>
        <v>122.85</v>
      </c>
      <c r="K34" s="19"/>
    </row>
    <row r="35" spans="1:11" ht="14.25">
      <c r="A35" t="s">
        <v>545</v>
      </c>
      <c r="B35" s="3">
        <v>8.9</v>
      </c>
      <c r="C35" t="s">
        <v>78</v>
      </c>
      <c r="D35">
        <f>(1*Packages!$F$13)</f>
        <v>18300</v>
      </c>
      <c r="E35" s="3">
        <f t="shared" si="0"/>
        <v>162870</v>
      </c>
      <c r="F35" s="19">
        <f>(E35*'Eco indicator Points'!$B$3)</f>
        <v>39088800</v>
      </c>
      <c r="G35" s="19">
        <f t="shared" si="1"/>
        <v>13290192.000000002</v>
      </c>
      <c r="I35" t="s">
        <v>545</v>
      </c>
      <c r="J35" s="19">
        <f>(D35*'Eco indicator Points'!$B$3)/1000</f>
        <v>4392</v>
      </c>
      <c r="K35" s="19"/>
    </row>
    <row r="36" spans="1:11" ht="14.25">
      <c r="A36" t="s">
        <v>546</v>
      </c>
      <c r="B36" s="3">
        <v>38.4</v>
      </c>
      <c r="C36" t="s">
        <v>79</v>
      </c>
      <c r="D36">
        <f>(1*Packages!$F$14)</f>
        <v>9800</v>
      </c>
      <c r="E36" s="3">
        <f t="shared" si="0"/>
        <v>376320</v>
      </c>
      <c r="F36" s="19">
        <f>(E36*'Eco indicator Points'!$B$3)</f>
        <v>90316800</v>
      </c>
      <c r="G36" s="19">
        <f t="shared" si="1"/>
        <v>30707712.000000004</v>
      </c>
      <c r="I36" t="s">
        <v>546</v>
      </c>
      <c r="J36" s="19">
        <f>(D36*'Eco indicator Points'!$B$3)/1000</f>
        <v>2352</v>
      </c>
      <c r="K36" s="19"/>
    </row>
    <row r="37" spans="1:11" ht="12.75">
      <c r="A37" t="s">
        <v>547</v>
      </c>
      <c r="B37" s="3">
        <v>805.9</v>
      </c>
      <c r="C37" t="s">
        <v>615</v>
      </c>
      <c r="D37">
        <f>(1*Packages!$F$34)</f>
        <v>3080</v>
      </c>
      <c r="E37" s="3">
        <f t="shared" si="0"/>
        <v>2482172</v>
      </c>
      <c r="F37" s="19">
        <f>(E37*'Eco indicator Points'!$B$8)</f>
        <v>273038920</v>
      </c>
      <c r="G37" s="19">
        <f t="shared" si="1"/>
        <v>92833232.80000001</v>
      </c>
      <c r="I37" t="s">
        <v>547</v>
      </c>
      <c r="J37" s="19">
        <f>(D37*'Eco indicator Points'!$B$8)/1000</f>
        <v>338.8</v>
      </c>
      <c r="K37" s="19"/>
    </row>
    <row r="38" spans="1:11" ht="14.25">
      <c r="A38" t="s">
        <v>548</v>
      </c>
      <c r="B38" s="3">
        <v>1684.1</v>
      </c>
      <c r="C38" t="s">
        <v>91</v>
      </c>
      <c r="D38">
        <f>(1*Packages!$F$4)</f>
        <v>733.6</v>
      </c>
      <c r="E38" s="3">
        <f t="shared" si="0"/>
        <v>1235455.76</v>
      </c>
      <c r="F38" s="19">
        <f>(E38*'Eco indicator Points'!$B$7)</f>
        <v>1124264741.6</v>
      </c>
      <c r="G38" s="19">
        <f t="shared" si="1"/>
        <v>382250012.144</v>
      </c>
      <c r="I38" t="s">
        <v>548</v>
      </c>
      <c r="J38" s="19">
        <f>(D38*'Eco indicator Points'!$B$7)/1000</f>
        <v>667.576</v>
      </c>
      <c r="K38" s="19"/>
    </row>
    <row r="39" spans="1:11" ht="12.75">
      <c r="A39" s="7" t="s">
        <v>663</v>
      </c>
      <c r="B39" s="8">
        <v>646.2</v>
      </c>
      <c r="C39" s="7" t="s">
        <v>55</v>
      </c>
      <c r="D39">
        <f>(1*Packages!$F$3)</f>
        <v>135</v>
      </c>
      <c r="E39" s="8">
        <f t="shared" si="0"/>
        <v>87237</v>
      </c>
      <c r="F39" s="21">
        <f>(E39*'Eco indicator Points'!$B$7)</f>
        <v>79385670</v>
      </c>
      <c r="G39" s="21">
        <f t="shared" si="1"/>
        <v>26991127.8</v>
      </c>
      <c r="I39" s="7" t="s">
        <v>663</v>
      </c>
      <c r="J39" s="21">
        <f>(D39*'Eco indicator Points'!$B$7)/1000</f>
        <v>122.85</v>
      </c>
      <c r="K39" s="21"/>
    </row>
    <row r="40" spans="1:11" ht="12.75">
      <c r="A40" s="7" t="s">
        <v>662</v>
      </c>
      <c r="B40" s="8">
        <v>119.8</v>
      </c>
      <c r="C40" s="7" t="s">
        <v>56</v>
      </c>
      <c r="D40">
        <f>(1*Packages!$F$34)</f>
        <v>3080</v>
      </c>
      <c r="E40" s="8">
        <f t="shared" si="0"/>
        <v>368984</v>
      </c>
      <c r="F40" s="21">
        <f>(E40*'Eco indicator Points'!$B$8)</f>
        <v>40588240</v>
      </c>
      <c r="G40" s="21">
        <f t="shared" si="1"/>
        <v>13800001.600000001</v>
      </c>
      <c r="I40" s="7" t="s">
        <v>662</v>
      </c>
      <c r="J40" s="21">
        <f>(D40*'Eco indicator Points'!$B$8)/1000</f>
        <v>338.8</v>
      </c>
      <c r="K40" s="21"/>
    </row>
    <row r="41" spans="1:11" ht="12.75">
      <c r="A41" t="s">
        <v>549</v>
      </c>
      <c r="B41" s="3">
        <v>45705.8</v>
      </c>
      <c r="C41" t="s">
        <v>506</v>
      </c>
      <c r="D41">
        <f>(1*Packages!$F$4)</f>
        <v>733.6</v>
      </c>
      <c r="E41" s="3">
        <f t="shared" si="0"/>
        <v>33529774.880000003</v>
      </c>
      <c r="F41" s="19">
        <f>(E41*'Eco indicator Points'!$B$7)</f>
        <v>30512095140.800003</v>
      </c>
      <c r="G41" s="19">
        <f t="shared" si="1"/>
        <v>10374112347.872002</v>
      </c>
      <c r="I41" t="s">
        <v>549</v>
      </c>
      <c r="J41" s="19">
        <f>(D41*'Eco indicator Points'!$B$7)/1000</f>
        <v>667.576</v>
      </c>
      <c r="K41" s="19"/>
    </row>
    <row r="42" spans="1:11" ht="12.75">
      <c r="A42" t="s">
        <v>550</v>
      </c>
      <c r="B42" s="3">
        <v>24790.4</v>
      </c>
      <c r="C42" t="s">
        <v>614</v>
      </c>
      <c r="D42">
        <f>(1*Packages!$F$4)</f>
        <v>733.6</v>
      </c>
      <c r="E42" s="3">
        <f t="shared" si="0"/>
        <v>18186237.44</v>
      </c>
      <c r="F42" s="19">
        <f>(E42*'Eco indicator Points'!$B$7)</f>
        <v>16549476070.400002</v>
      </c>
      <c r="G42" s="19">
        <f t="shared" si="1"/>
        <v>5626821863.936001</v>
      </c>
      <c r="I42" t="s">
        <v>550</v>
      </c>
      <c r="J42" s="19">
        <f>(D42*'Eco indicator Points'!$B$7)/1000</f>
        <v>667.576</v>
      </c>
      <c r="K42" s="19"/>
    </row>
    <row r="43" spans="1:11" ht="14.25">
      <c r="A43" t="s">
        <v>551</v>
      </c>
      <c r="B43" s="3">
        <v>264.1</v>
      </c>
      <c r="C43" t="s">
        <v>286</v>
      </c>
      <c r="D43">
        <f>(1*Packages!$F$3)</f>
        <v>135</v>
      </c>
      <c r="E43" s="3">
        <f t="shared" si="0"/>
        <v>35653.5</v>
      </c>
      <c r="F43" s="19">
        <f>(E43*'Eco indicator Points'!$B$7)</f>
        <v>32444685</v>
      </c>
      <c r="G43" s="19">
        <f t="shared" si="1"/>
        <v>11031192.9</v>
      </c>
      <c r="I43" t="s">
        <v>551</v>
      </c>
      <c r="J43" s="19">
        <f>(D43*'Eco indicator Points'!$B$7)/1000</f>
        <v>122.85</v>
      </c>
      <c r="K43" s="19"/>
    </row>
    <row r="44" spans="1:11" ht="12.75">
      <c r="A44" t="s">
        <v>552</v>
      </c>
      <c r="B44" s="3">
        <v>71.6</v>
      </c>
      <c r="C44" t="s">
        <v>507</v>
      </c>
      <c r="D44">
        <f>(1*Packages!$F$35)</f>
        <v>3000</v>
      </c>
      <c r="E44" s="3">
        <f t="shared" si="0"/>
        <v>214799.99999999997</v>
      </c>
      <c r="F44" s="22">
        <f>(E44*'Eco indicator Points'!$B$8)</f>
        <v>23627999.999999996</v>
      </c>
      <c r="G44" s="19">
        <f t="shared" si="1"/>
        <v>8033519.999999999</v>
      </c>
      <c r="I44" t="s">
        <v>552</v>
      </c>
      <c r="J44" s="19">
        <f>(D44*'Eco indicator Points'!$B$8)/1000</f>
        <v>330</v>
      </c>
      <c r="K44" s="19"/>
    </row>
    <row r="45" spans="1:11" ht="14.25">
      <c r="A45" s="7" t="s">
        <v>793</v>
      </c>
      <c r="B45" s="8">
        <v>112</v>
      </c>
      <c r="C45" s="7" t="s">
        <v>786</v>
      </c>
      <c r="D45" s="7">
        <f>(1*Packages!$F$4)</f>
        <v>733.6</v>
      </c>
      <c r="E45" s="8">
        <f t="shared" si="0"/>
        <v>82163.2</v>
      </c>
      <c r="F45" s="21">
        <f>(E45*'Eco indicator Points'!$B$7)</f>
        <v>74768512</v>
      </c>
      <c r="G45" s="21">
        <f t="shared" si="1"/>
        <v>25421294.080000002</v>
      </c>
      <c r="H45" s="7"/>
      <c r="I45" s="7" t="s">
        <v>791</v>
      </c>
      <c r="J45" s="21">
        <f>(D45*'Eco indicator Points'!$B$7)/1000</f>
        <v>667.576</v>
      </c>
      <c r="K45" s="19"/>
    </row>
    <row r="46" spans="1:11" ht="12.75">
      <c r="A46" s="23" t="s">
        <v>230</v>
      </c>
      <c r="B46" s="24">
        <f>SUM(B13:B45)-(B14+B16+B19+B25+B27+B29)</f>
        <v>224583.09999999995</v>
      </c>
      <c r="C46" s="23"/>
      <c r="D46" s="23"/>
      <c r="E46" s="24"/>
      <c r="F46" s="25">
        <f>SUM(F13:F45)</f>
        <v>93981098811</v>
      </c>
      <c r="G46" s="25">
        <f>SUM(G13:G45)</f>
        <v>31953573595.740005</v>
      </c>
      <c r="I46" s="23"/>
      <c r="J46" s="25"/>
      <c r="K46" s="25"/>
    </row>
    <row r="47" spans="1:11" ht="12.75">
      <c r="A47" s="1" t="s">
        <v>605</v>
      </c>
      <c r="G47" s="19"/>
      <c r="I47" s="1" t="s">
        <v>789</v>
      </c>
      <c r="K47" s="19"/>
    </row>
    <row r="48" spans="1:11" ht="12.75">
      <c r="A48" t="s">
        <v>236</v>
      </c>
      <c r="B48" s="3">
        <v>24800.3</v>
      </c>
      <c r="C48" t="s">
        <v>284</v>
      </c>
      <c r="D48">
        <f>(1*Packages!$F$6)</f>
        <v>4200</v>
      </c>
      <c r="E48" s="3">
        <f t="shared" si="0"/>
        <v>104161260</v>
      </c>
      <c r="F48" s="19">
        <f>(E48*'Eco indicator Points'!$B$7)</f>
        <v>94786746600</v>
      </c>
      <c r="G48" s="19">
        <f>(F48*$C$9)</f>
        <v>13849581982.585218</v>
      </c>
      <c r="I48" t="s">
        <v>236</v>
      </c>
      <c r="J48" s="19">
        <f>(D48*'Eco indicator Points'!$B$7)/1000</f>
        <v>3822</v>
      </c>
      <c r="K48" s="19"/>
    </row>
    <row r="49" spans="1:11" ht="12.75">
      <c r="A49" t="s">
        <v>547</v>
      </c>
      <c r="B49" s="3">
        <v>33330.6</v>
      </c>
      <c r="C49" t="s">
        <v>507</v>
      </c>
      <c r="D49">
        <f>(1*Packages!$F$34)</f>
        <v>3080</v>
      </c>
      <c r="E49" s="3">
        <f t="shared" si="0"/>
        <v>102658248</v>
      </c>
      <c r="F49" s="22">
        <f>(E49*'Eco indicator Points'!$B$8)</f>
        <v>11292407280</v>
      </c>
      <c r="G49" s="19">
        <f aca="true" t="shared" si="2" ref="G49:G54">(F49*$C$9)</f>
        <v>1649968228.8399394</v>
      </c>
      <c r="I49" t="s">
        <v>547</v>
      </c>
      <c r="J49" s="19">
        <f>(D49*'Eco indicator Points'!$B$8)/1000</f>
        <v>338.8</v>
      </c>
      <c r="K49" s="19"/>
    </row>
    <row r="50" spans="1:11" ht="12.75">
      <c r="A50" s="7" t="s">
        <v>664</v>
      </c>
      <c r="B50" s="8">
        <v>1532.1</v>
      </c>
      <c r="C50" s="7" t="s">
        <v>56</v>
      </c>
      <c r="D50">
        <f>(1*Packages!$F$34)</f>
        <v>3080</v>
      </c>
      <c r="E50" s="8">
        <f t="shared" si="0"/>
        <v>4718868</v>
      </c>
      <c r="F50" s="21">
        <f>(E50*'Eco indicator Points'!$B$8)</f>
        <v>519075480</v>
      </c>
      <c r="G50" s="21">
        <f t="shared" si="2"/>
        <v>75843708.8862988</v>
      </c>
      <c r="I50" s="7" t="s">
        <v>664</v>
      </c>
      <c r="J50" s="21">
        <f>(D50*'Eco indicator Points'!$B$8)/1000</f>
        <v>338.8</v>
      </c>
      <c r="K50" s="21"/>
    </row>
    <row r="51" spans="1:11" ht="12.75">
      <c r="A51" t="s">
        <v>552</v>
      </c>
      <c r="B51" s="3">
        <v>1096.6</v>
      </c>
      <c r="C51" t="s">
        <v>507</v>
      </c>
      <c r="D51">
        <f>(1*Packages!$F$35)</f>
        <v>3000</v>
      </c>
      <c r="E51" s="3">
        <f t="shared" si="0"/>
        <v>3289799.9999999995</v>
      </c>
      <c r="F51" s="22">
        <f>(E51*'Eco indicator Points'!$B$8)</f>
        <v>361877999.99999994</v>
      </c>
      <c r="G51" s="19">
        <f t="shared" si="2"/>
        <v>52875103.413391896</v>
      </c>
      <c r="I51" t="s">
        <v>552</v>
      </c>
      <c r="J51" s="19">
        <f>(D51*'Eco indicator Points'!$B$8)/1000</f>
        <v>330</v>
      </c>
      <c r="K51" s="19"/>
    </row>
    <row r="52" spans="1:11" ht="14.25">
      <c r="A52" t="s">
        <v>665</v>
      </c>
      <c r="B52" s="3">
        <v>604</v>
      </c>
      <c r="C52" t="s">
        <v>58</v>
      </c>
      <c r="D52">
        <f>(1*Packages!$F$34)</f>
        <v>3080</v>
      </c>
      <c r="E52" s="3">
        <f t="shared" si="0"/>
        <v>1860320</v>
      </c>
      <c r="F52" s="22">
        <f>(E52*'Eco indicator Points'!$B$8)</f>
        <v>204635200</v>
      </c>
      <c r="G52" s="19">
        <f t="shared" si="2"/>
        <v>29899876.096419606</v>
      </c>
      <c r="I52" t="s">
        <v>665</v>
      </c>
      <c r="J52" s="19">
        <f>(D52*'Eco indicator Points'!$B$8)/1000</f>
        <v>338.8</v>
      </c>
      <c r="K52" s="19"/>
    </row>
    <row r="53" spans="1:11" ht="14.25">
      <c r="A53" t="s">
        <v>666</v>
      </c>
      <c r="B53" s="3">
        <v>250</v>
      </c>
      <c r="C53" t="s">
        <v>58</v>
      </c>
      <c r="D53">
        <f>(1*Packages!$F$34)</f>
        <v>3080</v>
      </c>
      <c r="E53" s="3">
        <f t="shared" si="0"/>
        <v>770000</v>
      </c>
      <c r="F53" s="22">
        <f>(E53*'Eco indicator Points'!$B$8)</f>
        <v>84700000</v>
      </c>
      <c r="G53" s="19">
        <f t="shared" si="2"/>
        <v>12375776.529975003</v>
      </c>
      <c r="I53" t="s">
        <v>666</v>
      </c>
      <c r="J53" s="19">
        <f>(D53*'Eco indicator Points'!$B$8)/1000</f>
        <v>338.8</v>
      </c>
      <c r="K53" s="19"/>
    </row>
    <row r="54" spans="1:11" ht="14.25">
      <c r="A54" s="7" t="s">
        <v>792</v>
      </c>
      <c r="B54" s="8">
        <v>3</v>
      </c>
      <c r="C54" s="7" t="s">
        <v>786</v>
      </c>
      <c r="D54" s="7">
        <f>(1*Packages!$F$4)</f>
        <v>733.6</v>
      </c>
      <c r="E54" s="8">
        <f t="shared" si="0"/>
        <v>2200.8</v>
      </c>
      <c r="F54" s="21">
        <f>(E54*'Eco indicator Points'!$B$7)</f>
        <v>2002728.0000000002</v>
      </c>
      <c r="G54" s="21">
        <f t="shared" si="2"/>
        <v>292624.7246555346</v>
      </c>
      <c r="I54" s="7" t="s">
        <v>791</v>
      </c>
      <c r="J54" s="21">
        <f>(D54*'Eco indicator Points'!$B$7)/1000</f>
        <v>667.576</v>
      </c>
      <c r="K54" s="19"/>
    </row>
    <row r="55" spans="1:11" ht="12.75">
      <c r="A55" s="23" t="s">
        <v>231</v>
      </c>
      <c r="B55" s="24">
        <f>SUM(B48:B54)</f>
        <v>61616.59999999999</v>
      </c>
      <c r="E55" s="3"/>
      <c r="F55" s="25">
        <f>SUM(F48:F54)</f>
        <v>107251445288</v>
      </c>
      <c r="G55" s="25">
        <f>SUM(G48:G54)</f>
        <v>15670837301.0759</v>
      </c>
      <c r="I55" s="23"/>
      <c r="J55" s="25"/>
      <c r="K55" s="25"/>
    </row>
    <row r="56" spans="1:11" ht="12.75">
      <c r="A56" s="1" t="s">
        <v>612</v>
      </c>
      <c r="G56" s="19"/>
      <c r="I56" s="1" t="s">
        <v>790</v>
      </c>
      <c r="K56" s="19"/>
    </row>
    <row r="57" spans="1:11" ht="14.25">
      <c r="A57" s="40" t="s">
        <v>222</v>
      </c>
      <c r="B57" s="39">
        <v>2421</v>
      </c>
      <c r="C57" s="40" t="s">
        <v>796</v>
      </c>
      <c r="D57" s="40">
        <v>100</v>
      </c>
      <c r="E57" s="39">
        <f t="shared" si="0"/>
        <v>242100</v>
      </c>
      <c r="F57" s="41">
        <f>(E57*'Eco indicator Points'!$B$8)</f>
        <v>26631000</v>
      </c>
      <c r="G57" s="41">
        <f>(F57*$D$9)</f>
        <v>10308156.238862848</v>
      </c>
      <c r="H57" s="40"/>
      <c r="I57" s="40" t="s">
        <v>222</v>
      </c>
      <c r="J57" s="41">
        <f>(D57*'Eco indicator Points'!$B$8)/1000</f>
        <v>11</v>
      </c>
      <c r="K57" s="19"/>
    </row>
    <row r="58" spans="1:11" ht="12.75">
      <c r="A58" t="s">
        <v>668</v>
      </c>
      <c r="B58" s="3">
        <v>87</v>
      </c>
      <c r="C58" t="s">
        <v>615</v>
      </c>
      <c r="D58">
        <f>(1*Packages!$F$32)</f>
        <v>4800</v>
      </c>
      <c r="E58" s="3">
        <f t="shared" si="0"/>
        <v>417600</v>
      </c>
      <c r="F58" s="22">
        <f>(E58*'Eco indicator Points'!$B$8)</f>
        <v>45936000</v>
      </c>
      <c r="G58" s="19">
        <f>(F58*$D$9)</f>
        <v>17780611.50495302</v>
      </c>
      <c r="I58" t="s">
        <v>668</v>
      </c>
      <c r="J58" s="19">
        <f>(D58*'Eco indicator Points'!$B$8)/1000</f>
        <v>528</v>
      </c>
      <c r="K58" s="19"/>
    </row>
    <row r="59" spans="1:11" ht="14.25">
      <c r="A59" s="7" t="s">
        <v>669</v>
      </c>
      <c r="B59" s="8">
        <v>138.2</v>
      </c>
      <c r="C59" s="7" t="s">
        <v>795</v>
      </c>
      <c r="D59" s="7">
        <f>(1*Packages!$F$35)</f>
        <v>3000</v>
      </c>
      <c r="E59" s="8">
        <f t="shared" si="0"/>
        <v>414599.99999999994</v>
      </c>
      <c r="F59" s="21">
        <f>(E59*'Eco indicator Points'!$B$8)</f>
        <v>45605999.99999999</v>
      </c>
      <c r="G59" s="21">
        <f>(F59*$D$9)</f>
        <v>17652877.22690019</v>
      </c>
      <c r="H59" s="7"/>
      <c r="I59" s="7" t="s">
        <v>669</v>
      </c>
      <c r="J59" s="21">
        <f>(D59*'Eco indicator Points'!$B$8)/1000</f>
        <v>330</v>
      </c>
      <c r="K59" s="19"/>
    </row>
    <row r="60" spans="1:11" ht="12.75">
      <c r="A60" s="23" t="s">
        <v>232</v>
      </c>
      <c r="B60" s="24">
        <f>SUM(B57:B59)</f>
        <v>2646.2</v>
      </c>
      <c r="E60" s="3"/>
      <c r="F60" s="25">
        <f>SUM(F57:F59)</f>
        <v>118173000</v>
      </c>
      <c r="G60" s="25">
        <f>SUM(G57:G59)</f>
        <v>45741644.97071606</v>
      </c>
      <c r="I60" s="23"/>
      <c r="J60" s="25"/>
      <c r="K60" s="25"/>
    </row>
    <row r="61" spans="1:11" ht="12.75">
      <c r="A61" s="26" t="s">
        <v>233</v>
      </c>
      <c r="B61" s="24"/>
      <c r="C61" s="23"/>
      <c r="D61" s="23"/>
      <c r="E61" s="24"/>
      <c r="F61" s="25">
        <f>(F60+F55+F46)</f>
        <v>201350717099</v>
      </c>
      <c r="G61" s="25">
        <f>(G60+G55+G46)</f>
        <v>47670152541.78662</v>
      </c>
      <c r="I61" s="26"/>
      <c r="J61" s="25"/>
      <c r="K61" s="25"/>
    </row>
    <row r="62" spans="1:11" ht="25.5">
      <c r="A62" s="27" t="s">
        <v>102</v>
      </c>
      <c r="B62" s="28">
        <f>(1*Packages!B98)</f>
        <v>15700503.577694729</v>
      </c>
      <c r="C62" s="9" t="s">
        <v>103</v>
      </c>
      <c r="D62" s="9">
        <f>(1*D57)</f>
        <v>100</v>
      </c>
      <c r="E62" s="28">
        <f>(D62*B62)</f>
        <v>1570050357.7694728</v>
      </c>
      <c r="F62" s="29">
        <f>(E62*'Eco indicator Points'!$B$8)</f>
        <v>172705539354.642</v>
      </c>
      <c r="G62" s="29">
        <f>(F62*$D$9)</f>
        <v>66849749652.0869</v>
      </c>
      <c r="I62" s="27"/>
      <c r="J62" s="29"/>
      <c r="K62" s="29"/>
    </row>
    <row r="63" spans="1:11" ht="25.5">
      <c r="A63" s="27" t="s">
        <v>784</v>
      </c>
      <c r="B63" s="28">
        <f>(1*Packages!B99)</f>
        <v>88819.49475150953</v>
      </c>
      <c r="C63" s="9" t="s">
        <v>357</v>
      </c>
      <c r="D63" s="9">
        <f>(1*D58)</f>
        <v>4800</v>
      </c>
      <c r="E63" s="28">
        <f>(D63*B63)</f>
        <v>426333574.80724573</v>
      </c>
      <c r="F63" s="29">
        <f>(E63*'Eco indicator Points'!$B$8)</f>
        <v>46896693228.79703</v>
      </c>
      <c r="G63" s="29">
        <f>(F63*$D$9)</f>
        <v>18152470462.56097</v>
      </c>
      <c r="I63" s="27"/>
      <c r="J63" s="29"/>
      <c r="K63" s="29"/>
    </row>
    <row r="64" spans="1:11" ht="38.25">
      <c r="A64" s="27" t="s">
        <v>785</v>
      </c>
      <c r="B64" s="28">
        <f>(1*Packages!B100)</f>
        <v>123909.13234710247</v>
      </c>
      <c r="C64" s="9" t="s">
        <v>104</v>
      </c>
      <c r="D64" s="9">
        <f>(1*D59)</f>
        <v>3000</v>
      </c>
      <c r="E64" s="28">
        <f>(D64*B64)</f>
        <v>371727397.0413074</v>
      </c>
      <c r="F64" s="29">
        <f>(E64*'Eco indicator Points'!$B$8)</f>
        <v>40890013674.543816</v>
      </c>
      <c r="G64" s="29">
        <f>(F64*$D$9)</f>
        <v>15827443564.50888</v>
      </c>
      <c r="I64" s="27"/>
      <c r="J64" s="29"/>
      <c r="K64" s="29"/>
    </row>
    <row r="65" spans="1:11" ht="25.5">
      <c r="A65" s="27" t="s">
        <v>105</v>
      </c>
      <c r="B65" s="28"/>
      <c r="C65" s="9"/>
      <c r="D65" s="9"/>
      <c r="E65" s="28"/>
      <c r="F65" s="29">
        <f>(F62+F61)</f>
        <v>374056256453.64197</v>
      </c>
      <c r="G65" s="29">
        <f>(G62+G61)</f>
        <v>114519902193.87352</v>
      </c>
      <c r="I65" s="27"/>
      <c r="J65" s="29"/>
      <c r="K65" s="29"/>
    </row>
    <row r="66" ht="22.5">
      <c r="A66" s="14" t="s">
        <v>92</v>
      </c>
    </row>
    <row r="67" ht="12.75">
      <c r="A67" s="15" t="s">
        <v>51</v>
      </c>
    </row>
    <row r="68" ht="22.5">
      <c r="A68" s="15" t="s">
        <v>220</v>
      </c>
    </row>
    <row r="69" ht="22.5">
      <c r="A69" s="15" t="s">
        <v>89</v>
      </c>
    </row>
    <row r="70" ht="22.5">
      <c r="A70" s="15" t="s">
        <v>59</v>
      </c>
    </row>
    <row r="71" ht="22.5">
      <c r="A71" s="15" t="s">
        <v>180</v>
      </c>
    </row>
    <row r="72" ht="12.75">
      <c r="A72" s="15" t="s">
        <v>80</v>
      </c>
    </row>
    <row r="73" ht="12.75">
      <c r="A73" s="15" t="s">
        <v>81</v>
      </c>
    </row>
    <row r="74" ht="22.5">
      <c r="A74" s="15" t="s">
        <v>86</v>
      </c>
    </row>
    <row r="75" ht="22.5">
      <c r="A75" s="15" t="s">
        <v>87</v>
      </c>
    </row>
    <row r="76" spans="1:2" ht="22.5">
      <c r="A76" s="15" t="s">
        <v>221</v>
      </c>
      <c r="B76" s="10">
        <v>1240</v>
      </c>
    </row>
    <row r="77" ht="22.5">
      <c r="A77" s="15" t="s">
        <v>224</v>
      </c>
    </row>
    <row r="78" ht="33.75">
      <c r="A78" s="38" t="s">
        <v>787</v>
      </c>
    </row>
    <row r="79" ht="20.25">
      <c r="A79" s="30" t="s">
        <v>106</v>
      </c>
    </row>
    <row r="81" ht="20.25">
      <c r="A81" s="31" t="s">
        <v>107</v>
      </c>
    </row>
    <row r="82" spans="1:5" ht="25.5">
      <c r="A82" s="4" t="s">
        <v>108</v>
      </c>
      <c r="B82" s="4" t="s">
        <v>109</v>
      </c>
      <c r="C82" s="4" t="s">
        <v>820</v>
      </c>
      <c r="D82" s="5"/>
      <c r="E82" s="4" t="s">
        <v>126</v>
      </c>
    </row>
    <row r="83" spans="1:5" ht="25.5">
      <c r="A83" s="5" t="s">
        <v>350</v>
      </c>
      <c r="B83" s="5">
        <f>(1*'Rad Metals for SimaPro'!D44)</f>
        <v>1200000</v>
      </c>
      <c r="C83" s="33">
        <f>(B83*'Eco indicator Points'!$B$12)</f>
        <v>72000000</v>
      </c>
      <c r="D83" s="33">
        <f>(B83*'Eco indicator Points'!$B$13)</f>
        <v>936000000</v>
      </c>
      <c r="E83" s="5" t="s">
        <v>728</v>
      </c>
    </row>
    <row r="84" spans="1:5" ht="12.75">
      <c r="A84" s="5" t="s">
        <v>351</v>
      </c>
      <c r="B84" s="5">
        <f>(1*'Rad Metals for SimaPro'!D45)</f>
        <v>2352660</v>
      </c>
      <c r="C84" s="33">
        <f>(B84*'Eco indicator Points'!$B$12)</f>
        <v>141159600</v>
      </c>
      <c r="D84" s="33">
        <f>(B84*'Eco indicator Points'!$B$13)</f>
        <v>1835074800</v>
      </c>
      <c r="E84" s="5" t="s">
        <v>61</v>
      </c>
    </row>
    <row r="85" spans="1:5" ht="12.75">
      <c r="A85" s="5" t="s">
        <v>352</v>
      </c>
      <c r="B85" s="5">
        <f>(1*'Rad Metals for SimaPro'!D46)</f>
        <v>14647340</v>
      </c>
      <c r="C85" s="33">
        <f>(B85*'Eco indicator Points'!$B$12)</f>
        <v>878840400</v>
      </c>
      <c r="D85" s="33">
        <f>(B85*'Eco indicator Points'!$B$13)</f>
        <v>11424925200</v>
      </c>
      <c r="E85" s="5" t="s">
        <v>61</v>
      </c>
    </row>
    <row r="86" spans="1:5" ht="25.5">
      <c r="A86" s="34" t="s">
        <v>110</v>
      </c>
      <c r="B86" s="34"/>
      <c r="C86" s="35">
        <f>SUM(C83:C85)</f>
        <v>1092000000</v>
      </c>
      <c r="D86" s="35">
        <f>SUM(D83:D85)</f>
        <v>14196000000</v>
      </c>
      <c r="E86" s="5"/>
    </row>
    <row r="87" spans="1:5" ht="12.75">
      <c r="A87" s="5" t="s">
        <v>113</v>
      </c>
      <c r="B87" s="5">
        <f>(1*'Rad Metals for SimaPro'!D47)</f>
        <v>405000</v>
      </c>
      <c r="C87" s="33">
        <f>(B87*'Eco indicator Points'!$B$14)</f>
        <v>567000000</v>
      </c>
      <c r="D87" s="5"/>
      <c r="E87" s="5"/>
    </row>
    <row r="88" spans="1:5" ht="12.75">
      <c r="A88" s="5" t="s">
        <v>114</v>
      </c>
      <c r="B88" s="5">
        <f>(1*'Rad Metals for SimaPro'!D48)</f>
        <v>3875460</v>
      </c>
      <c r="C88" s="33">
        <f>(B88*'Eco indicator Points'!$B$14)</f>
        <v>5425644000</v>
      </c>
      <c r="D88" s="5"/>
      <c r="E88" s="5"/>
    </row>
    <row r="89" spans="1:5" ht="12.75">
      <c r="A89" s="5" t="s">
        <v>115</v>
      </c>
      <c r="B89" s="5">
        <f>(1*'Rad Metals for SimaPro'!D49)</f>
        <v>1868540</v>
      </c>
      <c r="C89" s="33">
        <f>(B89*'Eco indicator Points'!$B$14)</f>
        <v>2615956000</v>
      </c>
      <c r="D89" s="5"/>
      <c r="E89" s="5"/>
    </row>
    <row r="90" spans="1:5" ht="25.5">
      <c r="A90" s="34" t="s">
        <v>1435</v>
      </c>
      <c r="B90" s="34"/>
      <c r="C90" s="35">
        <f>SUM(C87:C89)</f>
        <v>8608600000</v>
      </c>
      <c r="D90" s="5"/>
      <c r="E90" s="5"/>
    </row>
    <row r="91" spans="1:5" ht="25.5">
      <c r="A91" s="5" t="s">
        <v>116</v>
      </c>
      <c r="B91" s="5">
        <f>(1*'Rad Metals for SimaPro'!D50)</f>
        <v>7423000</v>
      </c>
      <c r="C91" s="33">
        <f>(B91*'Eco indicator Points'!$B$6)</f>
        <v>638378000</v>
      </c>
      <c r="D91" s="5"/>
      <c r="E91" s="5" t="s">
        <v>729</v>
      </c>
    </row>
    <row r="92" spans="1:5" ht="12.75">
      <c r="A92" s="5" t="s">
        <v>117</v>
      </c>
      <c r="B92" s="5">
        <f>(1*'Rad Metals for SimaPro'!D51)</f>
        <v>171560660</v>
      </c>
      <c r="C92" s="33">
        <f>(B92*'Eco indicator Points'!$B$6)</f>
        <v>14754216760</v>
      </c>
      <c r="D92" s="5"/>
      <c r="E92" s="5" t="s">
        <v>61</v>
      </c>
    </row>
    <row r="93" spans="1:5" ht="12.75">
      <c r="A93" s="5" t="s">
        <v>118</v>
      </c>
      <c r="B93" s="5">
        <f>(1*'Rad Metals for SimaPro'!D52)</f>
        <v>0</v>
      </c>
      <c r="C93" s="33">
        <f>(B93*'Eco indicator Points'!$B$6)</f>
        <v>0</v>
      </c>
      <c r="D93" s="5"/>
      <c r="E93" s="5" t="s">
        <v>61</v>
      </c>
    </row>
    <row r="94" spans="1:5" ht="25.5">
      <c r="A94" s="34" t="s">
        <v>127</v>
      </c>
      <c r="B94" s="5"/>
      <c r="C94" s="35">
        <f>SUM(C91:C93)</f>
        <v>15392594760</v>
      </c>
      <c r="D94" s="5"/>
      <c r="E94" s="5"/>
    </row>
    <row r="95" spans="1:5" ht="12.75">
      <c r="A95" s="5" t="s">
        <v>136</v>
      </c>
      <c r="B95" s="5">
        <f>(1*'Rad Metals for SimaPro'!D53)</f>
        <v>822000</v>
      </c>
      <c r="C95" s="33">
        <f>(B95*'Eco indicator Points'!$B$15)</f>
        <v>526080000</v>
      </c>
      <c r="D95" s="5"/>
      <c r="E95" s="5"/>
    </row>
    <row r="96" spans="1:5" ht="12.75">
      <c r="A96" s="5" t="s">
        <v>137</v>
      </c>
      <c r="B96" s="5">
        <f>(1*'Rad Metals for SimaPro'!D54)</f>
        <v>6485920</v>
      </c>
      <c r="C96" s="33">
        <f>(B96*'Eco indicator Points'!$B$15)</f>
        <v>4150988800</v>
      </c>
      <c r="D96" s="5"/>
      <c r="E96" s="5"/>
    </row>
    <row r="97" spans="1:5" ht="12.75">
      <c r="A97" s="32" t="s">
        <v>1436</v>
      </c>
      <c r="B97" s="32">
        <f>(1*'Rad Metals for SimaPro'!D55)</f>
        <v>3694080</v>
      </c>
      <c r="C97" s="37">
        <f>(B97*'Eco indicator Points'!$B$15)</f>
        <v>2364211200</v>
      </c>
      <c r="D97" s="5"/>
      <c r="E97" s="5"/>
    </row>
    <row r="98" spans="1:5" ht="25.5">
      <c r="A98" s="34" t="s">
        <v>1437</v>
      </c>
      <c r="B98" s="34"/>
      <c r="C98" s="35">
        <f>SUM(C95:C97)</f>
        <v>7041280000</v>
      </c>
      <c r="D98" s="5"/>
      <c r="E98" s="5"/>
    </row>
    <row r="99" spans="1:5" ht="12.75">
      <c r="A99" s="5" t="s">
        <v>139</v>
      </c>
      <c r="B99" s="5">
        <f>(1*'Rad Metals for SimaPro'!D56)</f>
        <v>3102000</v>
      </c>
      <c r="C99" s="33">
        <f>(B99*'Eco indicator Points'!$B$16)</f>
        <v>1613040000</v>
      </c>
      <c r="D99" s="5"/>
      <c r="E99" s="5"/>
    </row>
    <row r="100" spans="1:5" ht="12.75">
      <c r="A100" s="5" t="s">
        <v>140</v>
      </c>
      <c r="B100" s="5">
        <f>(1*'Rad Metals for SimaPro'!D57)</f>
        <v>7650000</v>
      </c>
      <c r="C100" s="33">
        <f>(B100*'Eco indicator Points'!$B$16)</f>
        <v>3978000000</v>
      </c>
      <c r="D100" s="5"/>
      <c r="E100" s="5"/>
    </row>
    <row r="101" spans="1:5" ht="12.75">
      <c r="A101" s="5" t="s">
        <v>141</v>
      </c>
      <c r="B101" s="5">
        <f>(1*'Rad Metals for SimaPro'!D58)</f>
        <v>0</v>
      </c>
      <c r="C101" s="33">
        <f>(B101*'Eco indicator Points'!$B$16)</f>
        <v>0</v>
      </c>
      <c r="D101" s="5"/>
      <c r="E101" s="5"/>
    </row>
    <row r="102" spans="1:5" ht="25.5">
      <c r="A102" s="34" t="s">
        <v>1438</v>
      </c>
      <c r="B102" s="5"/>
      <c r="C102" s="35">
        <f>SUM(C99:C101)</f>
        <v>5591040000</v>
      </c>
      <c r="D102" s="5"/>
      <c r="E102" s="5"/>
    </row>
    <row r="103" spans="1:5" ht="12.75">
      <c r="A103" s="5" t="s">
        <v>119</v>
      </c>
      <c r="B103" s="5">
        <f>(1*'Rad Metals for SimaPro'!D59)</f>
        <v>40000000</v>
      </c>
      <c r="C103" s="33">
        <f>(B103*'Eco indicator Points'!$B$7)</f>
        <v>36400000000</v>
      </c>
      <c r="D103" s="5"/>
      <c r="E103" s="5"/>
    </row>
    <row r="104" spans="1:5" ht="12.75">
      <c r="A104" s="5" t="s">
        <v>120</v>
      </c>
      <c r="B104" s="5">
        <f>(1*'Rad Metals for SimaPro'!D60)</f>
        <v>59402160</v>
      </c>
      <c r="C104" s="33">
        <f>(B104*'Eco indicator Points'!$B$7)</f>
        <v>54055965600</v>
      </c>
      <c r="D104" s="5"/>
      <c r="E104" s="5"/>
    </row>
    <row r="105" spans="1:5" ht="12.75">
      <c r="A105" s="5" t="s">
        <v>121</v>
      </c>
      <c r="B105" s="5">
        <f>(1*'Rad Metals for SimaPro'!D61)</f>
        <v>23999999.999999996</v>
      </c>
      <c r="C105" s="33">
        <f>(B105*'Eco indicator Points'!$B$7)</f>
        <v>21839999999.999996</v>
      </c>
      <c r="D105" s="5"/>
      <c r="E105" s="5"/>
    </row>
    <row r="106" spans="1:5" ht="12.75">
      <c r="A106" s="5" t="s">
        <v>131</v>
      </c>
      <c r="B106" s="5">
        <f>(1*'Rad Metals for SimaPro'!D62)</f>
        <v>36597840</v>
      </c>
      <c r="C106" s="33">
        <f>(B106*'Eco indicator Points'!$B$7)</f>
        <v>33304034400</v>
      </c>
      <c r="D106" s="5"/>
      <c r="E106" s="5"/>
    </row>
    <row r="107" spans="1:5" ht="25.5">
      <c r="A107" s="34" t="s">
        <v>123</v>
      </c>
      <c r="B107" s="5"/>
      <c r="C107" s="35">
        <f>SUM(C103:C106)</f>
        <v>145600000000</v>
      </c>
      <c r="D107" s="5"/>
      <c r="E107" s="5"/>
    </row>
    <row r="108" spans="1:5" ht="30" customHeight="1">
      <c r="A108" s="5" t="s">
        <v>132</v>
      </c>
      <c r="B108" s="5">
        <f>(1*'Rad Metals for SimaPro'!D63)</f>
        <v>49000000</v>
      </c>
      <c r="C108" s="33">
        <f>(B108*'Eco indicator Points'!$B$6)</f>
        <v>4214000000</v>
      </c>
      <c r="D108" s="33">
        <f>(B108*'Eco indicator Points'!$B$8)</f>
        <v>5390000000</v>
      </c>
      <c r="E108" s="5" t="s">
        <v>730</v>
      </c>
    </row>
    <row r="109" spans="1:5" ht="12.75">
      <c r="A109" s="5" t="s">
        <v>133</v>
      </c>
      <c r="B109" s="5">
        <f>(1*'Rad Metals for SimaPro'!D64)</f>
        <v>270232820</v>
      </c>
      <c r="C109" s="33">
        <f>(B109*'Eco indicator Points'!$B$6)</f>
        <v>23240022520</v>
      </c>
      <c r="D109" s="33">
        <f>(B109*'Eco indicator Points'!$B$8)</f>
        <v>29725610200</v>
      </c>
      <c r="E109" s="5" t="s">
        <v>61</v>
      </c>
    </row>
    <row r="110" spans="1:5" ht="12.75">
      <c r="A110" s="5" t="s">
        <v>134</v>
      </c>
      <c r="B110" s="5">
        <f>(1*'Rad Metals for SimaPro'!D65)</f>
        <v>85999999.99999999</v>
      </c>
      <c r="C110" s="33">
        <f>(B110*'Eco indicator Points'!$B$6)</f>
        <v>7395999999.999999</v>
      </c>
      <c r="D110" s="33">
        <f>(B110*'Eco indicator Points'!$B$8)</f>
        <v>9459999999.999998</v>
      </c>
      <c r="E110" s="5" t="s">
        <v>61</v>
      </c>
    </row>
    <row r="111" spans="1:5" ht="12.75">
      <c r="A111" s="5" t="s">
        <v>135</v>
      </c>
      <c r="B111" s="5">
        <f>(1*'Rad Metals for SimaPro'!D66)</f>
        <v>73767180</v>
      </c>
      <c r="C111" s="33">
        <f>(B111*'Eco indicator Points'!$B$6)</f>
        <v>6343977480</v>
      </c>
      <c r="D111" s="33">
        <f>(B111*'Eco indicator Points'!$B$8)</f>
        <v>8114389800</v>
      </c>
      <c r="E111" s="5" t="s">
        <v>61</v>
      </c>
    </row>
    <row r="112" spans="1:5" ht="25.5">
      <c r="A112" s="34" t="s">
        <v>124</v>
      </c>
      <c r="B112" s="5"/>
      <c r="C112" s="35">
        <f>SUM(C108:C111)</f>
        <v>41194000000</v>
      </c>
      <c r="D112" s="35">
        <f>SUM(D108:D111)</f>
        <v>52690000000</v>
      </c>
      <c r="E112" s="5"/>
    </row>
    <row r="113" spans="1:5" ht="12.75">
      <c r="A113" s="5" t="s">
        <v>341</v>
      </c>
      <c r="B113" s="5">
        <f>(1*'Rad Metals for SimaPro'!D67)</f>
        <v>48000</v>
      </c>
      <c r="C113" s="33">
        <f>(B113*'Eco indicator Points'!$B$17)</f>
        <v>153600000</v>
      </c>
      <c r="D113" s="5"/>
      <c r="E113" s="5"/>
    </row>
    <row r="114" spans="1:5" ht="12.75">
      <c r="A114" s="5" t="s">
        <v>342</v>
      </c>
      <c r="B114" s="5">
        <f>(1*'Rad Metals for SimaPro'!D68)</f>
        <v>353000</v>
      </c>
      <c r="C114" s="33">
        <f>(B114*'Eco indicator Points'!$B$17)</f>
        <v>1129600000</v>
      </c>
      <c r="D114" s="5"/>
      <c r="E114" s="5"/>
    </row>
    <row r="115" spans="1:5" ht="12.75">
      <c r="A115" s="5" t="s">
        <v>343</v>
      </c>
      <c r="B115" s="5">
        <f>(1*'Rad Metals for SimaPro'!D69)</f>
        <v>14647340</v>
      </c>
      <c r="C115" s="33">
        <f>(B115*'Eco indicator Points'!$B$17)</f>
        <v>46871488000</v>
      </c>
      <c r="D115" s="5"/>
      <c r="E115" s="5"/>
    </row>
    <row r="116" spans="1:5" ht="25.5">
      <c r="A116" s="34" t="s">
        <v>125</v>
      </c>
      <c r="B116" s="5"/>
      <c r="C116" s="35">
        <f>SUM(C113:C115)</f>
        <v>48154688000</v>
      </c>
      <c r="D116" s="5"/>
      <c r="E116" s="5"/>
    </row>
  </sheetData>
  <sheetProtection/>
  <printOptions/>
  <pageMargins left="0.75" right="0.75" top="1" bottom="1" header="0.5" footer="0.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1"/>
  <sheetViews>
    <sheetView zoomScalePageLayoutView="0" workbookViewId="0" topLeftCell="B1">
      <selection activeCell="B36" sqref="B36"/>
    </sheetView>
  </sheetViews>
  <sheetFormatPr defaultColWidth="8.8515625" defaultRowHeight="12.75"/>
  <cols>
    <col min="1" max="1" width="26.8515625" style="0" customWidth="1"/>
    <col min="3" max="3" width="14.00390625" style="0" customWidth="1"/>
    <col min="4" max="4" width="10.28125" style="0" customWidth="1"/>
    <col min="5" max="5" width="9.8515625" style="0" customWidth="1"/>
    <col min="6" max="6" width="12.7109375" style="0" customWidth="1"/>
    <col min="7" max="7" width="13.421875" style="0" customWidth="1"/>
    <col min="8" max="8" width="14.28125" style="0" customWidth="1"/>
    <col min="9" max="9" width="11.421875" style="0" customWidth="1"/>
    <col min="10" max="10" width="12.8515625" style="0" customWidth="1"/>
    <col min="11" max="11" width="13.140625" style="0" customWidth="1"/>
    <col min="12" max="12" width="14.8515625" style="0" customWidth="1"/>
    <col min="13" max="13" width="12.421875" style="0" customWidth="1"/>
    <col min="14" max="14" width="11.421875" style="0" customWidth="1"/>
    <col min="15" max="15" width="11.28125" style="0" customWidth="1"/>
    <col min="16" max="16" width="14.8515625" style="0" customWidth="1"/>
    <col min="18" max="18" width="12.7109375" style="0" customWidth="1"/>
    <col min="19" max="19" width="12.00390625" style="0" customWidth="1"/>
    <col min="20" max="20" width="11.28125" style="0" customWidth="1"/>
  </cols>
  <sheetData>
    <row r="1" ht="12.75">
      <c r="A1" s="1" t="s">
        <v>671</v>
      </c>
    </row>
    <row r="2" ht="12.75">
      <c r="A2" s="311" t="s">
        <v>482</v>
      </c>
    </row>
    <row r="3" spans="1:20" ht="45.75" customHeight="1">
      <c r="A3" s="4" t="s">
        <v>1195</v>
      </c>
      <c r="B3" s="4" t="s">
        <v>674</v>
      </c>
      <c r="C3" s="4" t="s">
        <v>440</v>
      </c>
      <c r="D3" s="4" t="s">
        <v>676</v>
      </c>
      <c r="E3" s="4" t="s">
        <v>883</v>
      </c>
      <c r="F3" s="4" t="s">
        <v>933</v>
      </c>
      <c r="G3" s="4" t="s">
        <v>934</v>
      </c>
      <c r="H3" s="4" t="s">
        <v>935</v>
      </c>
      <c r="I3" s="4" t="s">
        <v>559</v>
      </c>
      <c r="J3" s="4" t="s">
        <v>936</v>
      </c>
      <c r="K3" s="4" t="s">
        <v>937</v>
      </c>
      <c r="L3" s="4" t="s">
        <v>938</v>
      </c>
      <c r="M3" s="4" t="s">
        <v>939</v>
      </c>
      <c r="N3" s="4" t="s">
        <v>940</v>
      </c>
      <c r="O3" s="4"/>
      <c r="P3" s="4"/>
      <c r="Q3" s="4"/>
      <c r="R3" s="4"/>
      <c r="S3" s="4"/>
      <c r="T3" s="4"/>
    </row>
    <row r="4" spans="1:20" ht="12.75">
      <c r="A4" t="s">
        <v>874</v>
      </c>
      <c r="B4" t="s">
        <v>944</v>
      </c>
      <c r="C4" t="s">
        <v>357</v>
      </c>
      <c r="D4" s="3">
        <v>4633</v>
      </c>
      <c r="E4" s="3"/>
      <c r="F4" s="3"/>
      <c r="G4" s="3"/>
      <c r="H4" s="3">
        <f>(G4/100)*D4</f>
        <v>0</v>
      </c>
      <c r="I4">
        <v>1.4</v>
      </c>
      <c r="J4" s="3">
        <f>I4*D4</f>
        <v>6486.2</v>
      </c>
      <c r="K4" s="3">
        <f>(I4*H4)</f>
        <v>0</v>
      </c>
      <c r="L4">
        <v>2</v>
      </c>
      <c r="M4" s="3">
        <f>(F4/L4)</f>
        <v>0</v>
      </c>
      <c r="N4" s="3">
        <f>(J4/L4)</f>
        <v>3243.1</v>
      </c>
      <c r="Q4" s="3"/>
      <c r="R4" s="6"/>
      <c r="T4" s="3"/>
    </row>
    <row r="5" spans="1:12" ht="12.75">
      <c r="A5" s="2" t="s">
        <v>875</v>
      </c>
      <c r="B5" t="s">
        <v>945</v>
      </c>
      <c r="C5" t="s">
        <v>357</v>
      </c>
      <c r="D5">
        <v>3190</v>
      </c>
      <c r="I5">
        <v>1.4</v>
      </c>
      <c r="J5" s="3">
        <f aca="true" t="shared" si="0" ref="J5:J13">I5*D5</f>
        <v>4466</v>
      </c>
      <c r="L5">
        <v>2</v>
      </c>
    </row>
    <row r="6" spans="1:12" ht="12.75">
      <c r="A6" s="2" t="s">
        <v>876</v>
      </c>
      <c r="B6" t="s">
        <v>946</v>
      </c>
      <c r="C6" t="s">
        <v>357</v>
      </c>
      <c r="D6">
        <v>8141</v>
      </c>
      <c r="I6">
        <v>1.4</v>
      </c>
      <c r="J6" s="3">
        <f t="shared" si="0"/>
        <v>11397.4</v>
      </c>
      <c r="L6" s="7">
        <v>4</v>
      </c>
    </row>
    <row r="7" spans="1:12" ht="12.75">
      <c r="A7" s="2" t="s">
        <v>877</v>
      </c>
      <c r="B7" t="s">
        <v>947</v>
      </c>
      <c r="C7" t="s">
        <v>357</v>
      </c>
      <c r="D7">
        <v>6189</v>
      </c>
      <c r="I7">
        <v>1.4</v>
      </c>
      <c r="J7" s="3">
        <f t="shared" si="0"/>
        <v>8664.599999999999</v>
      </c>
      <c r="L7" s="7">
        <v>4</v>
      </c>
    </row>
    <row r="8" spans="1:12" ht="12.75">
      <c r="A8" s="2" t="s">
        <v>1210</v>
      </c>
      <c r="B8" t="s">
        <v>1194</v>
      </c>
      <c r="C8" t="s">
        <v>357</v>
      </c>
      <c r="D8">
        <v>3259</v>
      </c>
      <c r="I8">
        <v>1.4</v>
      </c>
      <c r="J8" s="3">
        <f t="shared" si="0"/>
        <v>4562.599999999999</v>
      </c>
      <c r="L8">
        <v>2</v>
      </c>
    </row>
    <row r="9" spans="1:12" ht="12.75">
      <c r="A9" s="2" t="s">
        <v>879</v>
      </c>
      <c r="B9" t="s">
        <v>948</v>
      </c>
      <c r="C9" t="s">
        <v>357</v>
      </c>
      <c r="D9">
        <v>3387</v>
      </c>
      <c r="I9">
        <v>1.4</v>
      </c>
      <c r="J9" s="3">
        <f t="shared" si="0"/>
        <v>4741.799999999999</v>
      </c>
      <c r="L9">
        <v>2</v>
      </c>
    </row>
    <row r="10" spans="1:12" ht="12.75">
      <c r="A10" s="2" t="s">
        <v>880</v>
      </c>
      <c r="B10" t="s">
        <v>949</v>
      </c>
      <c r="C10" t="s">
        <v>357</v>
      </c>
      <c r="D10">
        <v>4447</v>
      </c>
      <c r="I10">
        <v>1.4</v>
      </c>
      <c r="J10" s="3">
        <f t="shared" si="0"/>
        <v>6225.799999999999</v>
      </c>
      <c r="L10">
        <v>2</v>
      </c>
    </row>
    <row r="11" spans="1:14" ht="12.75">
      <c r="A11" s="7" t="s">
        <v>869</v>
      </c>
      <c r="B11" s="21" t="s">
        <v>870</v>
      </c>
      <c r="C11" s="7" t="s">
        <v>357</v>
      </c>
      <c r="D11" s="7" t="s">
        <v>1090</v>
      </c>
      <c r="E11" s="7"/>
      <c r="F11" s="7"/>
      <c r="G11" s="7"/>
      <c r="H11" s="7"/>
      <c r="I11" s="7">
        <v>1.4</v>
      </c>
      <c r="J11" s="8" t="s">
        <v>1090</v>
      </c>
      <c r="K11" s="7"/>
      <c r="L11" s="7">
        <v>2</v>
      </c>
      <c r="M11" s="7"/>
      <c r="N11" s="7"/>
    </row>
    <row r="12" spans="1:12" ht="12.75">
      <c r="A12" s="2" t="s">
        <v>881</v>
      </c>
      <c r="B12" t="s">
        <v>1091</v>
      </c>
      <c r="C12" t="s">
        <v>357</v>
      </c>
      <c r="D12">
        <v>3692</v>
      </c>
      <c r="I12">
        <v>1.4</v>
      </c>
      <c r="J12" s="3">
        <f>I12*D12</f>
        <v>5168.799999999999</v>
      </c>
      <c r="L12">
        <v>2</v>
      </c>
    </row>
    <row r="13" spans="1:12" ht="12.75">
      <c r="A13" s="2" t="s">
        <v>882</v>
      </c>
      <c r="B13" t="s">
        <v>853</v>
      </c>
      <c r="C13" t="s">
        <v>357</v>
      </c>
      <c r="D13">
        <v>3939</v>
      </c>
      <c r="I13">
        <v>1.4</v>
      </c>
      <c r="J13" s="3">
        <f t="shared" si="0"/>
        <v>5514.599999999999</v>
      </c>
      <c r="L13">
        <v>2</v>
      </c>
    </row>
    <row r="14" spans="1:14" ht="12.75">
      <c r="A14" s="7" t="s">
        <v>855</v>
      </c>
      <c r="B14" s="7" t="s">
        <v>854</v>
      </c>
      <c r="C14" s="7" t="s">
        <v>357</v>
      </c>
      <c r="D14" s="7" t="s">
        <v>1090</v>
      </c>
      <c r="E14" s="7"/>
      <c r="F14" s="7"/>
      <c r="G14" s="7"/>
      <c r="H14" s="7"/>
      <c r="I14" s="7">
        <v>1.4</v>
      </c>
      <c r="J14" s="8" t="s">
        <v>1090</v>
      </c>
      <c r="K14" s="7"/>
      <c r="L14" s="7">
        <v>2</v>
      </c>
      <c r="M14" s="7"/>
      <c r="N14" s="7"/>
    </row>
    <row r="15" spans="1:14" ht="12.75">
      <c r="A15" s="157" t="s">
        <v>555</v>
      </c>
      <c r="B15" s="7"/>
      <c r="C15" s="7"/>
      <c r="D15" s="158">
        <f>D13+D12+SUM(D4:D10)</f>
        <v>40877</v>
      </c>
      <c r="E15" s="7"/>
      <c r="F15" s="7"/>
      <c r="G15" s="7"/>
      <c r="H15" s="7"/>
      <c r="I15" s="7"/>
      <c r="J15" s="158">
        <f>J13+J12+SUM(J4:J10)</f>
        <v>57227.79999999999</v>
      </c>
      <c r="K15" s="7"/>
      <c r="L15" s="7"/>
      <c r="M15" s="7"/>
      <c r="N15" s="7"/>
    </row>
    <row r="16" spans="1:14" ht="25.5">
      <c r="A16" s="4" t="s">
        <v>1196</v>
      </c>
      <c r="B16" s="7"/>
      <c r="C16" s="7"/>
      <c r="D16" s="158"/>
      <c r="E16" s="7"/>
      <c r="F16" s="7"/>
      <c r="G16" s="7"/>
      <c r="H16" s="7"/>
      <c r="I16" s="7"/>
      <c r="J16" s="36"/>
      <c r="K16" s="7"/>
      <c r="L16" s="7"/>
      <c r="M16" s="7"/>
      <c r="N16" s="7"/>
    </row>
    <row r="17" spans="1:14" ht="12.75">
      <c r="A17" t="s">
        <v>1330</v>
      </c>
      <c r="B17" s="18" t="s">
        <v>1200</v>
      </c>
      <c r="C17" s="18" t="s">
        <v>284</v>
      </c>
      <c r="D17" s="156">
        <v>2760.8</v>
      </c>
      <c r="E17" s="7"/>
      <c r="F17" s="7"/>
      <c r="G17" s="7"/>
      <c r="H17" s="7"/>
      <c r="I17" s="18">
        <v>1.4</v>
      </c>
      <c r="J17" s="3">
        <f aca="true" t="shared" si="1" ref="J17:J32">I17*D17</f>
        <v>3865.12</v>
      </c>
      <c r="K17" s="7"/>
      <c r="L17" s="7"/>
      <c r="M17" s="7"/>
      <c r="N17" s="7"/>
    </row>
    <row r="18" spans="1:14" ht="12.75">
      <c r="A18" t="s">
        <v>1331</v>
      </c>
      <c r="B18" s="18" t="s">
        <v>1201</v>
      </c>
      <c r="C18" t="s">
        <v>357</v>
      </c>
      <c r="D18" s="156">
        <v>3291</v>
      </c>
      <c r="E18" s="7"/>
      <c r="F18" s="7"/>
      <c r="G18" s="7"/>
      <c r="H18" s="7"/>
      <c r="I18" s="18">
        <v>1.4</v>
      </c>
      <c r="J18" s="3">
        <f t="shared" si="1"/>
        <v>4607.4</v>
      </c>
      <c r="K18" s="7"/>
      <c r="L18" s="7"/>
      <c r="M18" s="7"/>
      <c r="N18" s="7"/>
    </row>
    <row r="19" spans="1:14" ht="12.75">
      <c r="A19" t="s">
        <v>1332</v>
      </c>
      <c r="B19" s="18" t="s">
        <v>1202</v>
      </c>
      <c r="C19" s="18" t="s">
        <v>284</v>
      </c>
      <c r="D19" s="156">
        <v>1221</v>
      </c>
      <c r="E19" s="7"/>
      <c r="F19" s="7"/>
      <c r="G19" s="7"/>
      <c r="H19" s="7"/>
      <c r="I19" s="18">
        <v>1.4</v>
      </c>
      <c r="J19" s="3">
        <f t="shared" si="1"/>
        <v>1709.3999999999999</v>
      </c>
      <c r="K19" s="7"/>
      <c r="L19" s="7"/>
      <c r="M19" s="7"/>
      <c r="N19" s="7"/>
    </row>
    <row r="20" spans="1:14" ht="12.75">
      <c r="A20" t="s">
        <v>1333</v>
      </c>
      <c r="B20" s="18" t="s">
        <v>1203</v>
      </c>
      <c r="C20" t="s">
        <v>357</v>
      </c>
      <c r="D20" s="156">
        <v>1422.9</v>
      </c>
      <c r="E20" s="7"/>
      <c r="F20" s="7"/>
      <c r="G20" s="7"/>
      <c r="H20" s="7"/>
      <c r="I20" s="18">
        <v>1.4</v>
      </c>
      <c r="J20" s="3">
        <f t="shared" si="1"/>
        <v>1992.06</v>
      </c>
      <c r="K20" s="7"/>
      <c r="L20" s="7"/>
      <c r="M20" s="7"/>
      <c r="N20" s="7"/>
    </row>
    <row r="21" spans="1:14" ht="12.75">
      <c r="A21" t="s">
        <v>1334</v>
      </c>
      <c r="B21" s="18" t="s">
        <v>1204</v>
      </c>
      <c r="C21" s="18" t="s">
        <v>284</v>
      </c>
      <c r="D21" s="156">
        <v>1221</v>
      </c>
      <c r="E21" s="7"/>
      <c r="F21" s="7"/>
      <c r="G21" s="7"/>
      <c r="H21" s="7"/>
      <c r="I21" s="18">
        <v>1.4</v>
      </c>
      <c r="J21" s="3">
        <f t="shared" si="1"/>
        <v>1709.3999999999999</v>
      </c>
      <c r="K21" s="7"/>
      <c r="L21" s="7"/>
      <c r="M21" s="7"/>
      <c r="N21" s="7"/>
    </row>
    <row r="22" spans="1:14" ht="12.75">
      <c r="A22" t="s">
        <v>1335</v>
      </c>
      <c r="B22" s="18" t="s">
        <v>1068</v>
      </c>
      <c r="C22" t="s">
        <v>357</v>
      </c>
      <c r="D22" s="156">
        <v>1423</v>
      </c>
      <c r="E22" s="7"/>
      <c r="F22" s="7"/>
      <c r="G22" s="7"/>
      <c r="H22" s="7"/>
      <c r="I22" s="18">
        <v>1.4</v>
      </c>
      <c r="J22" s="3">
        <f t="shared" si="1"/>
        <v>1992.1999999999998</v>
      </c>
      <c r="K22" s="7"/>
      <c r="L22" s="7"/>
      <c r="M22" s="7"/>
      <c r="N22" s="7"/>
    </row>
    <row r="23" spans="1:14" ht="12.75">
      <c r="A23" t="s">
        <v>1337</v>
      </c>
      <c r="B23" s="18" t="s">
        <v>1069</v>
      </c>
      <c r="C23" s="18" t="s">
        <v>284</v>
      </c>
      <c r="D23" s="156">
        <v>1120</v>
      </c>
      <c r="E23" s="7"/>
      <c r="F23" s="7"/>
      <c r="G23" s="7"/>
      <c r="H23" s="7"/>
      <c r="I23" s="18">
        <v>1.4</v>
      </c>
      <c r="J23" s="3">
        <f t="shared" si="1"/>
        <v>1568</v>
      </c>
      <c r="K23" s="7"/>
      <c r="L23" s="7"/>
      <c r="M23" s="7"/>
      <c r="N23" s="7"/>
    </row>
    <row r="24" spans="1:14" ht="12.75">
      <c r="A24" t="s">
        <v>1338</v>
      </c>
      <c r="B24" s="18" t="s">
        <v>1070</v>
      </c>
      <c r="C24" t="s">
        <v>357</v>
      </c>
      <c r="D24" s="156">
        <v>3278</v>
      </c>
      <c r="E24" s="7"/>
      <c r="F24" s="7"/>
      <c r="G24" s="7"/>
      <c r="H24" s="7"/>
      <c r="I24" s="18">
        <v>1.4</v>
      </c>
      <c r="J24" s="3">
        <f t="shared" si="1"/>
        <v>4589.2</v>
      </c>
      <c r="K24" s="7"/>
      <c r="L24" s="7"/>
      <c r="M24" s="7"/>
      <c r="N24" s="7"/>
    </row>
    <row r="25" spans="1:14" ht="12.75">
      <c r="A25" t="s">
        <v>1339</v>
      </c>
      <c r="B25" s="18" t="s">
        <v>1071</v>
      </c>
      <c r="C25" s="18" t="s">
        <v>284</v>
      </c>
      <c r="D25" s="156">
        <v>1269.6</v>
      </c>
      <c r="E25" s="7"/>
      <c r="F25" s="7"/>
      <c r="G25" s="7"/>
      <c r="H25" s="7"/>
      <c r="I25" s="18">
        <v>1.4</v>
      </c>
      <c r="J25" s="3">
        <f t="shared" si="1"/>
        <v>1777.4399999999998</v>
      </c>
      <c r="K25" s="7"/>
      <c r="L25" s="7"/>
      <c r="M25" s="7"/>
      <c r="N25" s="7"/>
    </row>
    <row r="26" spans="1:14" ht="12.75">
      <c r="A26" t="s">
        <v>1340</v>
      </c>
      <c r="B26" s="18" t="s">
        <v>1072</v>
      </c>
      <c r="C26" t="s">
        <v>357</v>
      </c>
      <c r="D26" s="156">
        <v>2406.5</v>
      </c>
      <c r="E26" s="7"/>
      <c r="F26" s="7"/>
      <c r="G26" s="7"/>
      <c r="H26" s="7"/>
      <c r="I26" s="18">
        <v>1.4</v>
      </c>
      <c r="J26" s="3">
        <f t="shared" si="1"/>
        <v>3369.1</v>
      </c>
      <c r="K26" s="7"/>
      <c r="L26" s="7"/>
      <c r="M26" s="7"/>
      <c r="N26" s="7"/>
    </row>
    <row r="27" spans="1:14" ht="12.75">
      <c r="A27" t="s">
        <v>1341</v>
      </c>
      <c r="B27" s="18" t="s">
        <v>1074</v>
      </c>
      <c r="C27" s="18" t="s">
        <v>284</v>
      </c>
      <c r="D27" s="156">
        <v>774.5</v>
      </c>
      <c r="E27" s="7"/>
      <c r="F27" s="7"/>
      <c r="G27" s="7"/>
      <c r="H27" s="7"/>
      <c r="I27" s="18">
        <v>1.4</v>
      </c>
      <c r="J27" s="3">
        <f t="shared" si="1"/>
        <v>1084.3</v>
      </c>
      <c r="K27" s="7"/>
      <c r="L27" s="7"/>
      <c r="M27" s="7"/>
      <c r="N27" s="7"/>
    </row>
    <row r="28" spans="1:14" ht="12.75">
      <c r="A28" t="s">
        <v>1342</v>
      </c>
      <c r="B28" s="18" t="s">
        <v>1073</v>
      </c>
      <c r="C28" t="s">
        <v>357</v>
      </c>
      <c r="D28" s="156">
        <v>8130.7</v>
      </c>
      <c r="E28" s="7"/>
      <c r="F28" s="7"/>
      <c r="G28" s="7"/>
      <c r="H28" s="7"/>
      <c r="I28" s="18">
        <v>1.4</v>
      </c>
      <c r="J28" s="3">
        <f t="shared" si="1"/>
        <v>11382.98</v>
      </c>
      <c r="K28" s="7"/>
      <c r="L28" s="7"/>
      <c r="M28" s="7"/>
      <c r="N28" s="7"/>
    </row>
    <row r="29" spans="1:14" ht="12.75">
      <c r="A29" t="s">
        <v>1218</v>
      </c>
      <c r="B29" s="18" t="s">
        <v>1207</v>
      </c>
      <c r="C29" s="18" t="s">
        <v>284</v>
      </c>
      <c r="D29" s="156">
        <v>1269.7</v>
      </c>
      <c r="E29" s="7"/>
      <c r="F29" s="7"/>
      <c r="G29" s="7"/>
      <c r="H29" s="7"/>
      <c r="I29" s="18">
        <v>1.4</v>
      </c>
      <c r="J29" s="3">
        <f t="shared" si="1"/>
        <v>1777.58</v>
      </c>
      <c r="K29" s="7"/>
      <c r="L29" s="7"/>
      <c r="M29" s="7"/>
      <c r="N29" s="7"/>
    </row>
    <row r="30" spans="1:14" ht="12.75">
      <c r="A30" t="s">
        <v>1219</v>
      </c>
      <c r="B30" s="18" t="s">
        <v>1206</v>
      </c>
      <c r="C30" t="s">
        <v>357</v>
      </c>
      <c r="D30" s="156">
        <v>2406.3</v>
      </c>
      <c r="E30" s="7"/>
      <c r="F30" s="7"/>
      <c r="G30" s="7"/>
      <c r="H30" s="7"/>
      <c r="I30" s="18">
        <v>1.4</v>
      </c>
      <c r="J30" s="3">
        <f t="shared" si="1"/>
        <v>3368.82</v>
      </c>
      <c r="K30" s="7"/>
      <c r="L30" s="7"/>
      <c r="M30" s="7"/>
      <c r="N30" s="7"/>
    </row>
    <row r="31" spans="1:14" ht="12.75">
      <c r="A31" t="s">
        <v>1220</v>
      </c>
      <c r="B31" s="18" t="s">
        <v>1208</v>
      </c>
      <c r="C31" s="18" t="s">
        <v>284</v>
      </c>
      <c r="D31" s="156">
        <v>1120</v>
      </c>
      <c r="E31" s="7"/>
      <c r="F31" s="7"/>
      <c r="G31" s="7"/>
      <c r="H31" s="7"/>
      <c r="I31" s="18">
        <v>1.4</v>
      </c>
      <c r="J31" s="3">
        <f t="shared" si="1"/>
        <v>1568</v>
      </c>
      <c r="K31" s="7"/>
      <c r="L31" s="7"/>
      <c r="M31" s="7"/>
      <c r="N31" s="7"/>
    </row>
    <row r="32" spans="1:14" ht="12.75">
      <c r="A32" t="s">
        <v>1221</v>
      </c>
      <c r="B32" s="18" t="s">
        <v>1209</v>
      </c>
      <c r="C32" t="s">
        <v>357</v>
      </c>
      <c r="D32" s="156">
        <v>3278.1</v>
      </c>
      <c r="E32" s="7"/>
      <c r="F32" s="7"/>
      <c r="G32" s="7"/>
      <c r="H32" s="7"/>
      <c r="I32" s="18">
        <v>1.4</v>
      </c>
      <c r="J32" s="3">
        <f t="shared" si="1"/>
        <v>4589.339999999999</v>
      </c>
      <c r="K32" s="7"/>
      <c r="L32" s="7"/>
      <c r="M32" s="7"/>
      <c r="N32" s="7"/>
    </row>
    <row r="33" spans="1:14" ht="12.75">
      <c r="A33" s="157" t="s">
        <v>1197</v>
      </c>
      <c r="B33" s="7"/>
      <c r="C33" s="7"/>
      <c r="D33" s="158">
        <f>D31+D29+D27+D25+D23+D21+D19+D17</f>
        <v>10756.599999999999</v>
      </c>
      <c r="E33" s="7"/>
      <c r="F33" s="7"/>
      <c r="G33" s="7"/>
      <c r="H33" s="7"/>
      <c r="I33" s="7"/>
      <c r="J33" s="158">
        <f>J31+J29+J27+J25+J23+J21+J19+J17</f>
        <v>15059.239999999998</v>
      </c>
      <c r="K33" s="7"/>
      <c r="L33" s="7"/>
      <c r="M33" s="7"/>
      <c r="N33" s="7"/>
    </row>
    <row r="34" spans="1:14" ht="12.75">
      <c r="A34" s="157" t="s">
        <v>1198</v>
      </c>
      <c r="B34" s="7"/>
      <c r="C34" s="7"/>
      <c r="D34" s="158">
        <f>D32+D30+D28+D26+D24+D22+D20+D18</f>
        <v>25636.5</v>
      </c>
      <c r="E34" s="7"/>
      <c r="F34" s="7"/>
      <c r="G34" s="7"/>
      <c r="H34" s="7"/>
      <c r="I34" s="7"/>
      <c r="J34" s="158">
        <f>J32+J30+J28+J26+J24+J22+J20+J18</f>
        <v>35891.1</v>
      </c>
      <c r="K34" s="7"/>
      <c r="L34" s="7"/>
      <c r="M34" s="7"/>
      <c r="N34" s="7"/>
    </row>
    <row r="35" spans="1:14" ht="12.75">
      <c r="A35" s="157" t="s">
        <v>1199</v>
      </c>
      <c r="B35" s="7"/>
      <c r="C35" s="7"/>
      <c r="D35" s="158">
        <f>D34+D33</f>
        <v>36393.1</v>
      </c>
      <c r="E35" s="7"/>
      <c r="F35" s="7"/>
      <c r="G35" s="7"/>
      <c r="H35" s="7"/>
      <c r="I35" s="7"/>
      <c r="J35" s="158">
        <f>J34+J33</f>
        <v>50950.34</v>
      </c>
      <c r="K35" s="7"/>
      <c r="L35" s="7"/>
      <c r="M35" s="7"/>
      <c r="N35" s="7"/>
    </row>
    <row r="36" spans="1:2" ht="12.75">
      <c r="A36" s="1" t="s">
        <v>483</v>
      </c>
      <c r="B36" s="2"/>
    </row>
    <row r="37" spans="1:20" ht="59.25" customHeight="1">
      <c r="A37" s="4" t="s">
        <v>1195</v>
      </c>
      <c r="B37" s="4" t="s">
        <v>360</v>
      </c>
      <c r="C37" s="4" t="s">
        <v>362</v>
      </c>
      <c r="D37" s="4" t="s">
        <v>941</v>
      </c>
      <c r="E37" s="4" t="s">
        <v>556</v>
      </c>
      <c r="F37" s="4" t="s">
        <v>594</v>
      </c>
      <c r="G37" s="4" t="s">
        <v>942</v>
      </c>
      <c r="H37" s="4" t="s">
        <v>556</v>
      </c>
      <c r="I37" s="4" t="s">
        <v>595</v>
      </c>
      <c r="J37" s="4" t="s">
        <v>943</v>
      </c>
      <c r="K37" s="4" t="s">
        <v>556</v>
      </c>
      <c r="L37" s="4" t="s">
        <v>556</v>
      </c>
      <c r="M37" s="4" t="s">
        <v>711</v>
      </c>
      <c r="N37" s="4" t="s">
        <v>713</v>
      </c>
      <c r="O37" s="4" t="s">
        <v>712</v>
      </c>
      <c r="P37" s="4" t="s">
        <v>714</v>
      </c>
      <c r="Q37" s="4" t="s">
        <v>715</v>
      </c>
      <c r="R37" s="4" t="s">
        <v>716</v>
      </c>
      <c r="S37" s="4" t="s">
        <v>529</v>
      </c>
      <c r="T37" s="4" t="s">
        <v>717</v>
      </c>
    </row>
    <row r="38" spans="1:20" ht="12.75">
      <c r="A38" t="s">
        <v>874</v>
      </c>
      <c r="B38" t="s">
        <v>361</v>
      </c>
      <c r="C38">
        <v>286</v>
      </c>
      <c r="D38" s="3">
        <f>(E4/100)*C38</f>
        <v>0</v>
      </c>
      <c r="E38" s="6">
        <f>(D38/L4)</f>
        <v>0</v>
      </c>
      <c r="F38">
        <v>5400</v>
      </c>
      <c r="G38" s="3">
        <f>(E4/100)*F38</f>
        <v>0</v>
      </c>
      <c r="H38" s="6" t="e">
        <f>(G38/D38)</f>
        <v>#DIV/0!</v>
      </c>
      <c r="I38">
        <v>5730</v>
      </c>
      <c r="J38" s="3">
        <f>(E4/100)*I38</f>
        <v>0</v>
      </c>
      <c r="K38" s="3">
        <f>(J38/L4)</f>
        <v>0</v>
      </c>
      <c r="L38" s="6" t="e">
        <f>(J38/D38)</f>
        <v>#DIV/0!</v>
      </c>
      <c r="M38">
        <v>1735</v>
      </c>
      <c r="N38" s="3" t="e">
        <f>(M38*L38)</f>
        <v>#DIV/0!</v>
      </c>
      <c r="O38" s="19" t="e">
        <f>(N38*D38)</f>
        <v>#DIV/0!</v>
      </c>
      <c r="P38">
        <v>5500</v>
      </c>
      <c r="Q38" s="19">
        <f>(P38*D38)</f>
        <v>0</v>
      </c>
      <c r="R38">
        <v>600</v>
      </c>
      <c r="S38">
        <f>(R38*D38)</f>
        <v>0</v>
      </c>
      <c r="T38" s="19" t="e">
        <f>(S38+Q38+O38)</f>
        <v>#DIV/0!</v>
      </c>
    </row>
    <row r="39" spans="1:20" ht="12.75">
      <c r="A39" t="s">
        <v>875</v>
      </c>
      <c r="B39" t="s">
        <v>361</v>
      </c>
      <c r="C39">
        <v>197</v>
      </c>
      <c r="D39" s="3"/>
      <c r="E39" s="6"/>
      <c r="F39">
        <v>3720</v>
      </c>
      <c r="G39" s="3"/>
      <c r="H39" s="6"/>
      <c r="I39">
        <v>3940</v>
      </c>
      <c r="J39" s="3"/>
      <c r="K39" s="3"/>
      <c r="L39" s="6"/>
      <c r="N39" s="3"/>
      <c r="O39" s="19"/>
      <c r="Q39" s="19"/>
      <c r="T39" s="19"/>
    </row>
    <row r="40" spans="1:20" ht="12.75">
      <c r="A40" t="s">
        <v>876</v>
      </c>
      <c r="B40" t="s">
        <v>361</v>
      </c>
      <c r="C40">
        <v>503</v>
      </c>
      <c r="D40" s="3"/>
      <c r="E40" s="6"/>
      <c r="F40">
        <v>9050</v>
      </c>
      <c r="G40" s="3"/>
      <c r="H40" s="6"/>
      <c r="I40">
        <v>10100</v>
      </c>
      <c r="J40" s="3"/>
      <c r="K40" s="3"/>
      <c r="L40" s="6"/>
      <c r="N40" s="3"/>
      <c r="O40" s="19"/>
      <c r="Q40" s="19"/>
      <c r="T40" s="19"/>
    </row>
    <row r="41" spans="1:20" ht="12.75">
      <c r="A41" t="s">
        <v>877</v>
      </c>
      <c r="B41" t="s">
        <v>361</v>
      </c>
      <c r="C41">
        <v>382</v>
      </c>
      <c r="D41" s="3"/>
      <c r="E41" s="6"/>
      <c r="F41">
        <v>7210</v>
      </c>
      <c r="G41" s="3"/>
      <c r="H41" s="6"/>
      <c r="I41">
        <v>7650</v>
      </c>
      <c r="J41" s="3"/>
      <c r="K41" s="3"/>
      <c r="L41" s="6"/>
      <c r="N41" s="3"/>
      <c r="O41" s="19"/>
      <c r="Q41" s="19"/>
      <c r="T41" s="19"/>
    </row>
    <row r="42" spans="1:20" ht="12.75">
      <c r="A42" t="s">
        <v>878</v>
      </c>
      <c r="B42" t="s">
        <v>361</v>
      </c>
      <c r="C42">
        <v>223</v>
      </c>
      <c r="D42" s="3"/>
      <c r="E42" s="6"/>
      <c r="G42" s="3"/>
      <c r="H42" s="6"/>
      <c r="J42" s="3"/>
      <c r="K42" s="3"/>
      <c r="L42" s="6"/>
      <c r="N42" s="3"/>
      <c r="O42" s="19"/>
      <c r="Q42" s="19"/>
      <c r="T42" s="19"/>
    </row>
    <row r="43" spans="1:20" ht="12.75">
      <c r="A43" t="s">
        <v>879</v>
      </c>
      <c r="B43" t="s">
        <v>361</v>
      </c>
      <c r="C43">
        <v>209</v>
      </c>
      <c r="D43" s="3"/>
      <c r="E43" s="6"/>
      <c r="F43">
        <v>3950</v>
      </c>
      <c r="G43" s="3"/>
      <c r="H43" s="6"/>
      <c r="I43">
        <v>4190</v>
      </c>
      <c r="J43" s="3"/>
      <c r="K43" s="3"/>
      <c r="L43" s="6"/>
      <c r="N43" s="3"/>
      <c r="O43" s="19"/>
      <c r="Q43" s="19"/>
      <c r="T43" s="19"/>
    </row>
    <row r="44" spans="1:20" ht="12.75">
      <c r="A44" t="s">
        <v>880</v>
      </c>
      <c r="B44" t="s">
        <v>361</v>
      </c>
      <c r="C44">
        <v>275</v>
      </c>
      <c r="D44" s="3"/>
      <c r="E44" s="6"/>
      <c r="F44">
        <v>5180</v>
      </c>
      <c r="G44" s="3"/>
      <c r="H44" s="6"/>
      <c r="I44">
        <v>5500</v>
      </c>
      <c r="J44" s="3"/>
      <c r="K44" s="3"/>
      <c r="L44" s="6"/>
      <c r="N44" s="3"/>
      <c r="O44" s="19"/>
      <c r="Q44" s="19"/>
      <c r="T44" s="19"/>
    </row>
    <row r="45" spans="1:20" ht="14.25">
      <c r="A45" s="7" t="s">
        <v>1420</v>
      </c>
      <c r="B45" s="7" t="s">
        <v>361</v>
      </c>
      <c r="C45" s="7">
        <v>0</v>
      </c>
      <c r="D45" s="3"/>
      <c r="E45" s="6"/>
      <c r="G45" s="3"/>
      <c r="H45" s="6"/>
      <c r="J45" s="3"/>
      <c r="K45" s="3"/>
      <c r="L45" s="6"/>
      <c r="N45" s="3"/>
      <c r="O45" s="19"/>
      <c r="Q45" s="19"/>
      <c r="T45" s="19"/>
    </row>
    <row r="46" spans="1:20" ht="12.75">
      <c r="A46" t="s">
        <v>881</v>
      </c>
      <c r="B46" t="s">
        <v>361</v>
      </c>
      <c r="C46">
        <v>228</v>
      </c>
      <c r="D46" s="3"/>
      <c r="E46" s="6"/>
      <c r="F46">
        <v>4300</v>
      </c>
      <c r="G46" s="3"/>
      <c r="H46" s="6"/>
      <c r="I46">
        <v>4560</v>
      </c>
      <c r="J46" s="3"/>
      <c r="K46" s="3"/>
      <c r="L46" s="6"/>
      <c r="N46" s="3"/>
      <c r="O46" s="19"/>
      <c r="Q46" s="19"/>
      <c r="T46" s="19"/>
    </row>
    <row r="47" spans="1:20" ht="12.75">
      <c r="A47" t="s">
        <v>882</v>
      </c>
      <c r="B47" t="s">
        <v>361</v>
      </c>
      <c r="C47">
        <v>243</v>
      </c>
      <c r="D47" s="3"/>
      <c r="E47" s="6"/>
      <c r="F47">
        <v>4590</v>
      </c>
      <c r="G47" s="3"/>
      <c r="H47" s="6"/>
      <c r="I47">
        <v>4870</v>
      </c>
      <c r="J47" s="3"/>
      <c r="K47" s="3"/>
      <c r="L47" s="6"/>
      <c r="N47" s="3"/>
      <c r="O47" s="19"/>
      <c r="Q47" s="19"/>
      <c r="T47" s="19"/>
    </row>
    <row r="48" spans="1:20" ht="14.25">
      <c r="A48" s="7" t="s">
        <v>1421</v>
      </c>
      <c r="B48" s="7" t="s">
        <v>361</v>
      </c>
      <c r="C48" s="7">
        <v>0</v>
      </c>
      <c r="D48" s="3"/>
      <c r="E48" s="6"/>
      <c r="G48" s="3"/>
      <c r="H48" s="6"/>
      <c r="J48" s="3"/>
      <c r="K48" s="3"/>
      <c r="L48" s="6"/>
      <c r="N48" s="3"/>
      <c r="O48" s="19"/>
      <c r="Q48" s="19"/>
      <c r="T48" s="19"/>
    </row>
    <row r="49" spans="1:20" ht="12.75">
      <c r="A49" s="7" t="s">
        <v>1336</v>
      </c>
      <c r="B49" s="7"/>
      <c r="C49" s="7">
        <f>SUM(C38:C48)</f>
        <v>2546</v>
      </c>
      <c r="D49" s="3"/>
      <c r="E49" s="6"/>
      <c r="G49" s="3"/>
      <c r="H49" s="6"/>
      <c r="J49" s="3"/>
      <c r="K49" s="3"/>
      <c r="L49" s="6"/>
      <c r="N49" s="3"/>
      <c r="O49" s="19"/>
      <c r="Q49" s="19"/>
      <c r="T49" s="19"/>
    </row>
    <row r="50" ht="12.75">
      <c r="A50" s="10" t="s">
        <v>1422</v>
      </c>
    </row>
    <row r="52" ht="25.5">
      <c r="A52" s="4" t="s">
        <v>1196</v>
      </c>
    </row>
    <row r="53" spans="1:3" ht="12.75">
      <c r="A53" t="s">
        <v>1330</v>
      </c>
      <c r="B53" t="s">
        <v>361</v>
      </c>
      <c r="C53">
        <v>184</v>
      </c>
    </row>
    <row r="54" spans="1:3" ht="12.75">
      <c r="A54" t="s">
        <v>1331</v>
      </c>
      <c r="B54" t="s">
        <v>361</v>
      </c>
      <c r="C54">
        <v>219</v>
      </c>
    </row>
    <row r="55" spans="1:3" ht="12.75">
      <c r="A55" t="s">
        <v>1332</v>
      </c>
      <c r="B55" t="s">
        <v>361</v>
      </c>
      <c r="C55">
        <v>81.4</v>
      </c>
    </row>
    <row r="56" spans="1:3" ht="12.75">
      <c r="A56" t="s">
        <v>1333</v>
      </c>
      <c r="B56" t="s">
        <v>361</v>
      </c>
      <c r="C56">
        <v>94.9</v>
      </c>
    </row>
    <row r="57" spans="1:3" ht="12.75">
      <c r="A57" t="s">
        <v>1334</v>
      </c>
      <c r="B57" t="s">
        <v>361</v>
      </c>
      <c r="C57">
        <v>81.4</v>
      </c>
    </row>
    <row r="58" spans="1:3" ht="12.75">
      <c r="A58" t="s">
        <v>1335</v>
      </c>
      <c r="B58" t="s">
        <v>361</v>
      </c>
      <c r="C58">
        <v>94.9</v>
      </c>
    </row>
    <row r="59" spans="1:3" ht="12.75">
      <c r="A59" t="s">
        <v>1337</v>
      </c>
      <c r="B59" t="s">
        <v>361</v>
      </c>
      <c r="C59">
        <v>74.7</v>
      </c>
    </row>
    <row r="60" spans="1:3" ht="12.75">
      <c r="A60" t="s">
        <v>1338</v>
      </c>
      <c r="B60" t="s">
        <v>361</v>
      </c>
      <c r="C60">
        <v>219</v>
      </c>
    </row>
    <row r="61" spans="1:3" ht="12.75">
      <c r="A61" t="s">
        <v>1339</v>
      </c>
      <c r="B61" t="s">
        <v>361</v>
      </c>
      <c r="C61">
        <v>84.6</v>
      </c>
    </row>
    <row r="62" spans="1:3" ht="12.75">
      <c r="A62" t="s">
        <v>1340</v>
      </c>
      <c r="B62" t="s">
        <v>361</v>
      </c>
      <c r="C62">
        <v>160</v>
      </c>
    </row>
    <row r="63" spans="1:3" ht="12.75">
      <c r="A63" t="s">
        <v>1341</v>
      </c>
      <c r="B63" t="s">
        <v>547</v>
      </c>
      <c r="C63">
        <v>26.3</v>
      </c>
    </row>
    <row r="64" spans="1:3" ht="12.75">
      <c r="A64" t="s">
        <v>1342</v>
      </c>
      <c r="B64" t="s">
        <v>547</v>
      </c>
      <c r="C64">
        <v>242</v>
      </c>
    </row>
    <row r="65" spans="1:3" ht="12.75">
      <c r="A65" t="s">
        <v>1218</v>
      </c>
      <c r="B65" t="s">
        <v>361</v>
      </c>
      <c r="C65">
        <v>84.6</v>
      </c>
    </row>
    <row r="66" spans="1:3" ht="12.75">
      <c r="A66" t="s">
        <v>1219</v>
      </c>
      <c r="B66" t="s">
        <v>361</v>
      </c>
      <c r="C66">
        <v>160</v>
      </c>
    </row>
    <row r="67" spans="1:3" ht="12.75">
      <c r="A67" t="s">
        <v>1220</v>
      </c>
      <c r="B67" t="s">
        <v>361</v>
      </c>
      <c r="C67">
        <v>74.7</v>
      </c>
    </row>
    <row r="68" spans="1:3" ht="12.75">
      <c r="A68" t="s">
        <v>1221</v>
      </c>
      <c r="B68" t="s">
        <v>361</v>
      </c>
      <c r="C68">
        <v>219</v>
      </c>
    </row>
    <row r="69" spans="1:3" ht="12.75">
      <c r="A69" t="s">
        <v>1222</v>
      </c>
      <c r="C69">
        <f>(C64+C63)</f>
        <v>268.3</v>
      </c>
    </row>
    <row r="70" spans="1:3" ht="14.25">
      <c r="A70" s="7" t="s">
        <v>1223</v>
      </c>
      <c r="B70" s="7"/>
      <c r="C70" s="7">
        <f>SUM(C53:C68)-C69</f>
        <v>1832.2</v>
      </c>
    </row>
    <row r="71" ht="12.75">
      <c r="A71" s="10" t="s">
        <v>1224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Strathclyde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Strathclyde Standard Desktop</dc:creator>
  <cp:keywords/>
  <dc:description/>
  <cp:lastModifiedBy>Strathclyde Standard Desktop</cp:lastModifiedBy>
  <cp:lastPrinted>2015-03-18T15:06:18Z</cp:lastPrinted>
  <dcterms:created xsi:type="dcterms:W3CDTF">2012-01-18T13:42:16Z</dcterms:created>
  <dcterms:modified xsi:type="dcterms:W3CDTF">2015-06-16T12:19:10Z</dcterms:modified>
  <cp:category/>
  <cp:version/>
  <cp:contentType/>
  <cp:contentStatus/>
</cp:coreProperties>
</file>