
<file path=[Content_Types].xml><?xml version="1.0" encoding="utf-8"?>
<Types xmlns="http://schemas.openxmlformats.org/package/2006/content-types">
  <Override PartName="/xl/charts/chart189.xml" ContentType="application/vnd.openxmlformats-officedocument.drawingml.chart+xml"/>
  <Override PartName="/xl/charts/chart241.xml" ContentType="application/vnd.openxmlformats-officedocument.drawingml.char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178.xml" ContentType="application/vnd.openxmlformats-officedocument.drawingml.chart+xml"/>
  <Override PartName="/xl/charts/chart230.xml" ContentType="application/vnd.openxmlformats-officedocument.drawingml.chart+xml"/>
  <Override PartName="/xl/charts/chart109.xml" ContentType="application/vnd.openxmlformats-officedocument.drawingml.chart+xml"/>
  <Override PartName="/xl/charts/chart156.xml" ContentType="application/vnd.openxmlformats-officedocument.drawingml.chart+xml"/>
  <Override PartName="/xl/charts/chart167.xml" ContentType="application/vnd.openxmlformats-officedocument.drawingml.chart+xml"/>
  <Default Extension="xml" ContentType="application/xml"/>
  <Override PartName="/xl/drawings/drawing2.xml" ContentType="application/vnd.openxmlformats-officedocument.drawing+xml"/>
  <Override PartName="/xl/charts/chart49.xml" ContentType="application/vnd.openxmlformats-officedocument.drawingml.chart+xml"/>
  <Override PartName="/xl/charts/chart96.xml" ContentType="application/vnd.openxmlformats-officedocument.drawingml.chart+xml"/>
  <Override PartName="/xl/charts/chart145.xml" ContentType="application/vnd.openxmlformats-officedocument.drawingml.chart+xml"/>
  <Override PartName="/xl/charts/chart192.xml" ContentType="application/vnd.openxmlformats-officedocument.drawingml.chart+xml"/>
  <Override PartName="/xl/worksheets/sheet3.xml" ContentType="application/vnd.openxmlformats-officedocument.spreadsheetml.worksheet+xml"/>
  <Override PartName="/xl/charts/chart27.xml" ContentType="application/vnd.openxmlformats-officedocument.drawingml.chart+xml"/>
  <Override PartName="/xl/charts/chart38.xml" ContentType="application/vnd.openxmlformats-officedocument.drawingml.chart+xml"/>
  <Override PartName="/xl/charts/chart74.xml" ContentType="application/vnd.openxmlformats-officedocument.drawingml.chart+xml"/>
  <Override PartName="/xl/charts/chart85.xml" ContentType="application/vnd.openxmlformats-officedocument.drawingml.chart+xml"/>
  <Override PartName="/xl/charts/chart134.xml" ContentType="application/vnd.openxmlformats-officedocument.drawingml.chart+xml"/>
  <Override PartName="/xl/charts/chart181.xml" ContentType="application/vnd.openxmlformats-officedocument.drawingml.chart+xml"/>
  <Override PartName="/xl/charts/chart16.xml" ContentType="application/vnd.openxmlformats-officedocument.drawingml.chart+xml"/>
  <Override PartName="/xl/charts/chart63.xml" ContentType="application/vnd.openxmlformats-officedocument.drawingml.chart+xml"/>
  <Override PartName="/xl/charts/chart112.xml" ContentType="application/vnd.openxmlformats-officedocument.drawingml.chart+xml"/>
  <Override PartName="/xl/charts/chart123.xml" ContentType="application/vnd.openxmlformats-officedocument.drawingml.chart+xml"/>
  <Override PartName="/xl/charts/chart170.xml" ContentType="application/vnd.openxmlformats-officedocument.drawingml.chart+xml"/>
  <Override PartName="/xl/charts/chart52.xml" ContentType="application/vnd.openxmlformats-officedocument.drawingml.chart+xml"/>
  <Override PartName="/xl/charts/chart101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charts/chart224.xml" ContentType="application/vnd.openxmlformats-officedocument.drawingml.chart+xml"/>
  <Override PartName="/xl/charts/chart235.xml" ContentType="application/vnd.openxmlformats-officedocument.drawingml.chart+xml"/>
  <Override PartName="/xl/charts/chart213.xml" ContentType="application/vnd.openxmlformats-officedocument.drawingml.chart+xml"/>
  <Override PartName="/xl/drawings/drawing7.xml" ContentType="application/vnd.openxmlformats-officedocument.drawingml.chartshapes+xml"/>
  <Override PartName="/xl/charts/chart139.xml" ContentType="application/vnd.openxmlformats-officedocument.drawingml.chart+xml"/>
  <Override PartName="/xl/charts/chart186.xml" ContentType="application/vnd.openxmlformats-officedocument.drawingml.chart+xml"/>
  <Override PartName="/xl/charts/chart197.xml" ContentType="application/vnd.openxmlformats-officedocument.drawingml.chart+xml"/>
  <Override PartName="/xl/charts/chart202.xml" ContentType="application/vnd.openxmlformats-officedocument.drawingml.chart+xml"/>
  <Override PartName="/xl/worksheets/sheet8.xml" ContentType="application/vnd.openxmlformats-officedocument.spreadsheetml.worksheet+xml"/>
  <Override PartName="/xl/charts/chart79.xml" ContentType="application/vnd.openxmlformats-officedocument.drawingml.chart+xml"/>
  <Override PartName="/xl/charts/chart128.xml" ContentType="application/vnd.openxmlformats-officedocument.drawingml.chart+xml"/>
  <Override PartName="/xl/charts/chart175.xml" ContentType="application/vnd.openxmlformats-officedocument.drawingml.char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57.xml" ContentType="application/vnd.openxmlformats-officedocument.drawingml.chart+xml"/>
  <Override PartName="/xl/charts/chart68.xml" ContentType="application/vnd.openxmlformats-officedocument.drawingml.chart+xml"/>
  <Override PartName="/xl/charts/chart117.xml" ContentType="application/vnd.openxmlformats-officedocument.drawingml.chart+xml"/>
  <Override PartName="/xl/charts/chart164.xml" ContentType="application/vnd.openxmlformats-officedocument.drawingml.chart+xml"/>
  <Override PartName="/docProps/app.xml" ContentType="application/vnd.openxmlformats-officedocument.extended-properties+xml"/>
  <Override PartName="/xl/charts/chart46.xml" ContentType="application/vnd.openxmlformats-officedocument.drawingml.chart+xml"/>
  <Override PartName="/xl/charts/chart93.xml" ContentType="application/vnd.openxmlformats-officedocument.drawingml.chart+xml"/>
  <Override PartName="/xl/charts/chart106.xml" ContentType="application/vnd.openxmlformats-officedocument.drawingml.chart+xml"/>
  <Override PartName="/xl/charts/chart142.xml" ContentType="application/vnd.openxmlformats-officedocument.drawingml.chart+xml"/>
  <Override PartName="/xl/charts/chart153.xml" ContentType="application/vnd.openxmlformats-officedocument.drawingml.chart+xml"/>
  <Override PartName="/xl/drawings/drawing14.xml" ContentType="application/vnd.openxmlformats-officedocument.drawingml.chartshapes+xml"/>
  <Override PartName="/xl/charts/chart35.xml" ContentType="application/vnd.openxmlformats-officedocument.drawingml.chart+xml"/>
  <Override PartName="/xl/charts/chart82.xml" ContentType="application/vnd.openxmlformats-officedocument.drawingml.chart+xml"/>
  <Override PartName="/xl/charts/chart131.xml" ContentType="application/vnd.openxmlformats-officedocument.drawingml.chart+xml"/>
  <Override PartName="/xl/charts/chart229.xml" ContentType="application/vnd.openxmlformats-officedocument.drawingml.chart+xml"/>
  <Override PartName="/xl/calcChain.xml" ContentType="application/vnd.openxmlformats-officedocument.spreadsheetml.calcChain+xml"/>
  <Override PartName="/xl/charts/chart13.xml" ContentType="application/vnd.openxmlformats-officedocument.drawingml.chart+xml"/>
  <Override PartName="/xl/charts/chart24.xml" ContentType="application/vnd.openxmlformats-officedocument.drawingml.chart+xml"/>
  <Override PartName="/xl/charts/chart71.xml" ContentType="application/vnd.openxmlformats-officedocument.drawingml.chart+xml"/>
  <Override PartName="/xl/charts/chart120.xml" ContentType="application/vnd.openxmlformats-officedocument.drawingml.chart+xml"/>
  <Override PartName="/xl/charts/chart207.xml" ContentType="application/vnd.openxmlformats-officedocument.drawingml.chart+xml"/>
  <Override PartName="/xl/charts/chart218.xml" ContentType="application/vnd.openxmlformats-officedocument.drawingml.chart+xml"/>
  <Override PartName="/xl/charts/chart60.xml" ContentType="application/vnd.openxmlformats-officedocument.drawingml.chart+xml"/>
  <Override PartName="/xl/charts/chart243.xml" ContentType="application/vnd.openxmlformats-officedocument.drawingml.chart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charts/chart198.xml" ContentType="application/vnd.openxmlformats-officedocument.drawingml.chart+xml"/>
  <Override PartName="/xl/charts/chart203.xml" ContentType="application/vnd.openxmlformats-officedocument.drawingml.chart+xml"/>
  <Override PartName="/xl/charts/chart214.xml" ContentType="application/vnd.openxmlformats-officedocument.drawingml.chart+xml"/>
  <Override PartName="/xl/charts/chart232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charts/chart158.xml" ContentType="application/vnd.openxmlformats-officedocument.drawingml.chart+xml"/>
  <Override PartName="/xl/charts/chart169.xml" ContentType="application/vnd.openxmlformats-officedocument.drawingml.chart+xml"/>
  <Override PartName="/xl/charts/chart187.xml" ContentType="application/vnd.openxmlformats-officedocument.drawingml.chart+xml"/>
  <Override PartName="/xl/charts/chart210.xml" ContentType="application/vnd.openxmlformats-officedocument.drawingml.chart+xml"/>
  <Override PartName="/xl/charts/chart221.xml" ContentType="application/vnd.openxmlformats-officedocument.drawingml.char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69.xml" ContentType="application/vnd.openxmlformats-officedocument.drawingml.chart+xml"/>
  <Override PartName="/xl/charts/chart98.xml" ContentType="application/vnd.openxmlformats-officedocument.drawingml.chart+xml"/>
  <Override PartName="/xl/charts/chart118.xml" ContentType="application/vnd.openxmlformats-officedocument.drawingml.chart+xml"/>
  <Override PartName="/xl/charts/chart129.xml" ContentType="application/vnd.openxmlformats-officedocument.drawingml.chart+xml"/>
  <Override PartName="/xl/charts/chart147.xml" ContentType="application/vnd.openxmlformats-officedocument.drawingml.chart+xml"/>
  <Override PartName="/xl/charts/chart165.xml" ContentType="application/vnd.openxmlformats-officedocument.drawingml.chart+xml"/>
  <Override PartName="/xl/charts/chart176.xml" ContentType="application/vnd.openxmlformats-officedocument.drawingml.chart+xml"/>
  <Override PartName="/xl/charts/chart194.xml" ContentType="application/vnd.openxmlformats-officedocument.drawingml.chart+xml"/>
  <Default Extension="rels" ContentType="application/vnd.openxmlformats-package.relationships+xml"/>
  <Override PartName="/xl/worksheets/sheet5.xml" ContentType="application/vnd.openxmlformats-officedocument.spreadsheetml.worksheet+xml"/>
  <Override PartName="/xl/charts/chart29.xml" ContentType="application/vnd.openxmlformats-officedocument.drawingml.chart+xml"/>
  <Override PartName="/xl/charts/chart58.xml" ContentType="application/vnd.openxmlformats-officedocument.drawingml.chart+xml"/>
  <Override PartName="/xl/charts/chart76.xml" ContentType="application/vnd.openxmlformats-officedocument.drawingml.chart+xml"/>
  <Override PartName="/xl/charts/chart87.xml" ContentType="application/vnd.openxmlformats-officedocument.drawingml.chart+xml"/>
  <Override PartName="/xl/charts/chart107.xml" ContentType="application/vnd.openxmlformats-officedocument.drawingml.chart+xml"/>
  <Override PartName="/xl/charts/chart136.xml" ContentType="application/vnd.openxmlformats-officedocument.drawingml.chart+xml"/>
  <Override PartName="/xl/charts/chart154.xml" ContentType="application/vnd.openxmlformats-officedocument.drawingml.chart+xml"/>
  <Override PartName="/xl/charts/chart183.xml" ContentType="application/vnd.openxmlformats-officedocument.drawingml.chart+xml"/>
  <Override PartName="/xl/charts/chart18.xml" ContentType="application/vnd.openxmlformats-officedocument.drawingml.chart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charts/chart65.xml" ContentType="application/vnd.openxmlformats-officedocument.drawingml.chart+xml"/>
  <Override PartName="/xl/charts/chart83.xml" ContentType="application/vnd.openxmlformats-officedocument.drawingml.chart+xml"/>
  <Override PartName="/xl/charts/chart94.xml" ContentType="application/vnd.openxmlformats-officedocument.drawingml.chart+xml"/>
  <Override PartName="/xl/charts/chart114.xml" ContentType="application/vnd.openxmlformats-officedocument.drawingml.chart+xml"/>
  <Override PartName="/xl/charts/chart125.xml" ContentType="application/vnd.openxmlformats-officedocument.drawingml.chart+xml"/>
  <Override PartName="/xl/charts/chart143.xml" ContentType="application/vnd.openxmlformats-officedocument.drawingml.chart+xml"/>
  <Override PartName="/xl/charts/chart161.xml" ContentType="application/vnd.openxmlformats-officedocument.drawingml.chart+xml"/>
  <Override PartName="/xl/charts/chart172.xml" ContentType="application/vnd.openxmlformats-officedocument.drawingml.chart+xml"/>
  <Override PartName="/xl/charts/chart190.xml" ContentType="application/vnd.openxmlformats-officedocument.drawingml.chart+xml"/>
  <Override PartName="/xl/worksheets/sheet1.xml" ContentType="application/vnd.openxmlformats-officedocument.spreadsheetml.worksheet+xml"/>
  <Override PartName="/xl/charts/chart25.xml" ContentType="application/vnd.openxmlformats-officedocument.drawingml.chart+xml"/>
  <Override PartName="/xl/charts/chart54.xml" ContentType="application/vnd.openxmlformats-officedocument.drawingml.chart+xml"/>
  <Override PartName="/xl/charts/chart72.xml" ContentType="application/vnd.openxmlformats-officedocument.drawingml.chart+xml"/>
  <Override PartName="/xl/charts/chart103.xml" ContentType="application/vnd.openxmlformats-officedocument.drawingml.chart+xml"/>
  <Override PartName="/xl/charts/chart132.xml" ContentType="application/vnd.openxmlformats-officedocument.drawingml.chart+xml"/>
  <Override PartName="/xl/charts/chart150.xml" ContentType="application/vnd.openxmlformats-officedocument.drawingml.chart+xml"/>
  <Override PartName="/xl/drawings/drawing11.xml" ContentType="application/vnd.openxmlformats-officedocument.drawing+xml"/>
  <Override PartName="/xl/charts/chart219.xml" ContentType="application/vnd.openxmlformats-officedocument.drawingml.chart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61.xml" ContentType="application/vnd.openxmlformats-officedocument.drawingml.chart+xml"/>
  <Override PartName="/xl/charts/chart90.xml" ContentType="application/vnd.openxmlformats-officedocument.drawingml.chart+xml"/>
  <Override PartName="/xl/charts/chart110.xml" ContentType="application/vnd.openxmlformats-officedocument.drawingml.chart+xml"/>
  <Override PartName="/xl/charts/chart121.xml" ContentType="application/vnd.openxmlformats-officedocument.drawingml.chart+xml"/>
  <Override PartName="/xl/charts/chart208.xml" ContentType="application/vnd.openxmlformats-officedocument.drawingml.chart+xml"/>
  <Override PartName="/xl/charts/chart226.xml" ContentType="application/vnd.openxmlformats-officedocument.drawingml.chart+xml"/>
  <Override PartName="/xl/charts/chart237.xml" ContentType="application/vnd.openxmlformats-officedocument.drawingml.chart+xml"/>
  <Override PartName="/xl/charts/chart21.xml" ContentType="application/vnd.openxmlformats-officedocument.drawingml.chart+xml"/>
  <Override PartName="/xl/charts/chart50.xml" ContentType="application/vnd.openxmlformats-officedocument.drawingml.chart+xml"/>
  <Override PartName="/xl/charts/chart215.xml" ContentType="application/vnd.openxmlformats-officedocument.drawingml.chart+xml"/>
  <Override PartName="/xl/charts/chart233.xml" ContentType="application/vnd.openxmlformats-officedocument.drawingml.chart+xml"/>
  <Override PartName="/xl/charts/chart244.xml" ContentType="application/vnd.openxmlformats-officedocument.drawingml.chart+xml"/>
  <Override PartName="/xl/worksheets/sheet16.xml" ContentType="application/vnd.openxmlformats-officedocument.spreadsheetml.workshee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88.xml" ContentType="application/vnd.openxmlformats-officedocument.drawingml.chart+xml"/>
  <Override PartName="/xl/charts/chart199.xml" ContentType="application/vnd.openxmlformats-officedocument.drawingml.chart+xml"/>
  <Override PartName="/xl/charts/chart204.xml" ContentType="application/vnd.openxmlformats-officedocument.drawingml.chart+xml"/>
  <Override PartName="/xl/charts/chart222.xml" ContentType="application/vnd.openxmlformats-officedocument.drawingml.chart+xml"/>
  <Override PartName="/xl/charts/chart99.xml" ContentType="application/vnd.openxmlformats-officedocument.drawingml.chart+xml"/>
  <Override PartName="/xl/charts/chart159.xml" ContentType="application/vnd.openxmlformats-officedocument.drawingml.chart+xml"/>
  <Override PartName="/xl/charts/chart177.xml" ContentType="application/vnd.openxmlformats-officedocument.drawingml.chart+xml"/>
  <Override PartName="/xl/charts/chart211.xml" ContentType="application/vnd.openxmlformats-officedocument.drawingml.chart+xml"/>
  <Override PartName="/xl/charts/chart240.xml" ContentType="application/vnd.openxmlformats-officedocument.drawingml.char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59.xml" ContentType="application/vnd.openxmlformats-officedocument.drawingml.chart+xml"/>
  <Override PartName="/xl/charts/chart88.xml" ContentType="application/vnd.openxmlformats-officedocument.drawingml.chart+xml"/>
  <Override PartName="/xl/charts/chart119.xml" ContentType="application/vnd.openxmlformats-officedocument.drawingml.chart+xml"/>
  <Override PartName="/xl/charts/chart137.xml" ContentType="application/vnd.openxmlformats-officedocument.drawingml.chart+xml"/>
  <Override PartName="/xl/charts/chart148.xml" ContentType="application/vnd.openxmlformats-officedocument.drawingml.chart+xml"/>
  <Override PartName="/xl/charts/chart166.xml" ContentType="application/vnd.openxmlformats-officedocument.drawingml.chart+xml"/>
  <Override PartName="/xl/charts/chart184.xml" ContentType="application/vnd.openxmlformats-officedocument.drawingml.chart+xml"/>
  <Override PartName="/xl/charts/chart195.xml" ContentType="application/vnd.openxmlformats-officedocument.drawingml.chart+xml"/>
  <Override PartName="/xl/charts/chart200.xml" ContentType="application/vnd.openxmlformats-officedocument.drawingml.chart+xml"/>
  <Override PartName="/xl/charts/chart48.xml" ContentType="application/vnd.openxmlformats-officedocument.drawingml.chart+xml"/>
  <Override PartName="/xl/charts/chart77.xml" ContentType="application/vnd.openxmlformats-officedocument.drawingml.chart+xml"/>
  <Override PartName="/xl/charts/chart95.xml" ContentType="application/vnd.openxmlformats-officedocument.drawingml.chart+xml"/>
  <Override PartName="/xl/charts/chart108.xml" ContentType="application/vnd.openxmlformats-officedocument.drawingml.chart+xml"/>
  <Override PartName="/xl/charts/chart126.xml" ContentType="application/vnd.openxmlformats-officedocument.drawingml.chart+xml"/>
  <Override PartName="/xl/charts/chart155.xml" ContentType="application/vnd.openxmlformats-officedocument.drawingml.chart+xml"/>
  <Override PartName="/xl/charts/chart173.xml" ContentType="application/vnd.openxmlformats-officedocument.drawingml.char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37.xml" ContentType="application/vnd.openxmlformats-officedocument.drawingml.chart+xml"/>
  <Override PartName="/xl/charts/chart55.xml" ContentType="application/vnd.openxmlformats-officedocument.drawingml.chart+xml"/>
  <Override PartName="/xl/charts/chart66.xml" ContentType="application/vnd.openxmlformats-officedocument.drawingml.chart+xml"/>
  <Override PartName="/xl/charts/chart84.xml" ContentType="application/vnd.openxmlformats-officedocument.drawingml.chart+xml"/>
  <Override PartName="/xl/charts/chart115.xml" ContentType="application/vnd.openxmlformats-officedocument.drawingml.chart+xml"/>
  <Override PartName="/xl/charts/chart133.xml" ContentType="application/vnd.openxmlformats-officedocument.drawingml.chart+xml"/>
  <Override PartName="/xl/charts/chart144.xml" ContentType="application/vnd.openxmlformats-officedocument.drawingml.chart+xml"/>
  <Override PartName="/xl/charts/chart162.xml" ContentType="application/vnd.openxmlformats-officedocument.drawingml.chart+xml"/>
  <Override PartName="/xl/charts/chart180.xml" ContentType="application/vnd.openxmlformats-officedocument.drawingml.chart+xml"/>
  <Override PartName="/xl/charts/chart191.xml" ContentType="application/vnd.openxmlformats-officedocument.drawingml.chart+xml"/>
  <Override PartName="/xl/charts/chart26.xml" ContentType="application/vnd.openxmlformats-officedocument.drawingml.chart+xml"/>
  <Override PartName="/xl/charts/chart44.xml" ContentType="application/vnd.openxmlformats-officedocument.drawingml.chart+xml"/>
  <Override PartName="/xl/charts/chart73.xml" ContentType="application/vnd.openxmlformats-officedocument.drawingml.chart+xml"/>
  <Override PartName="/xl/charts/chart91.xml" ContentType="application/vnd.openxmlformats-officedocument.drawingml.chart+xml"/>
  <Override PartName="/xl/charts/chart104.xml" ContentType="application/vnd.openxmlformats-officedocument.drawingml.chart+xml"/>
  <Override PartName="/xl/charts/chart122.xml" ContentType="application/vnd.openxmlformats-officedocument.drawingml.chart+xml"/>
  <Override PartName="/xl/charts/chart140.xml" ContentType="application/vnd.openxmlformats-officedocument.drawingml.chart+xml"/>
  <Override PartName="/xl/charts/chart151.xml" ContentType="application/vnd.openxmlformats-officedocument.drawingml.chart+xml"/>
  <Override PartName="/xl/drawings/drawing12.xml" ContentType="application/vnd.openxmlformats-officedocument.drawing+xml"/>
  <Override PartName="/xl/charts/chart209.xml" ContentType="application/vnd.openxmlformats-officedocument.drawingml.chart+xml"/>
  <Override PartName="/xl/charts/chart238.xml" ContentType="application/vnd.openxmlformats-officedocument.drawingml.chart+xml"/>
  <Override PartName="/xl/charts/chart15.xml" ContentType="application/vnd.openxmlformats-officedocument.drawingml.chart+xml"/>
  <Override PartName="/xl/charts/chart33.xml" ContentType="application/vnd.openxmlformats-officedocument.drawingml.chart+xml"/>
  <Override PartName="/xl/charts/chart51.xml" ContentType="application/vnd.openxmlformats-officedocument.drawingml.chart+xml"/>
  <Override PartName="/xl/charts/chart62.xml" ContentType="application/vnd.openxmlformats-officedocument.drawingml.chart+xml"/>
  <Override PartName="/xl/charts/chart80.xml" ContentType="application/vnd.openxmlformats-officedocument.drawingml.chart+xml"/>
  <Override PartName="/xl/charts/chart111.xml" ContentType="application/vnd.openxmlformats-officedocument.drawingml.chart+xml"/>
  <Override PartName="/xl/charts/chart227.xml" ContentType="application/vnd.openxmlformats-officedocument.drawingml.chart+xml"/>
  <Override PartName="/xl/charts/chart245.xml" ContentType="application/vnd.openxmlformats-officedocument.drawingml.char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40.xml" ContentType="application/vnd.openxmlformats-officedocument.drawingml.chart+xml"/>
  <Override PartName="/xl/charts/chart100.xml" ContentType="application/vnd.openxmlformats-officedocument.drawingml.chart+xml"/>
  <Override PartName="/xl/charts/chart205.xml" ContentType="application/vnd.openxmlformats-officedocument.drawingml.chart+xml"/>
  <Override PartName="/xl/charts/chart216.xml" ContentType="application/vnd.openxmlformats-officedocument.drawingml.chart+xml"/>
  <Override PartName="/xl/charts/chart234.xml" ContentType="application/vnd.openxmlformats-officedocument.drawingml.chart+xml"/>
  <Override PartName="/xl/charts/chart223.xml" ContentType="application/vnd.openxmlformats-officedocument.drawingml.chart+xml"/>
  <Override PartName="/xl/drawings/drawing6.xml" ContentType="application/vnd.openxmlformats-officedocument.drawing+xml"/>
  <Override PartName="/xl/charts/chart149.xml" ContentType="application/vnd.openxmlformats-officedocument.drawingml.chart+xml"/>
  <Override PartName="/xl/charts/chart196.xml" ContentType="application/vnd.openxmlformats-officedocument.drawingml.chart+xml"/>
  <Override PartName="/xl/charts/chart201.xml" ContentType="application/vnd.openxmlformats-officedocument.drawingml.chart+xml"/>
  <Override PartName="/xl/charts/chart212.xml" ContentType="application/vnd.openxmlformats-officedocument.drawingml.chart+xml"/>
  <Override PartName="/xl/worksheets/sheet7.xml" ContentType="application/vnd.openxmlformats-officedocument.spreadsheetml.worksheet+xml"/>
  <Override PartName="/xl/charts/chart78.xml" ContentType="application/vnd.openxmlformats-officedocument.drawingml.chart+xml"/>
  <Override PartName="/xl/charts/chart89.xml" ContentType="application/vnd.openxmlformats-officedocument.drawingml.chart+xml"/>
  <Override PartName="/xl/charts/chart138.xml" ContentType="application/vnd.openxmlformats-officedocument.drawingml.chart+xml"/>
  <Override PartName="/xl/charts/chart185.xml" ContentType="application/vnd.openxmlformats-officedocument.drawingml.chart+xml"/>
  <Override PartName="/xl/charts/chart67.xml" ContentType="application/vnd.openxmlformats-officedocument.drawingml.chart+xml"/>
  <Override PartName="/xl/charts/chart116.xml" ContentType="application/vnd.openxmlformats-officedocument.drawingml.chart+xml"/>
  <Override PartName="/xl/charts/chart127.xml" ContentType="application/vnd.openxmlformats-officedocument.drawingml.chart+xml"/>
  <Override PartName="/xl/charts/chart163.xml" ContentType="application/vnd.openxmlformats-officedocument.drawingml.chart+xml"/>
  <Override PartName="/xl/charts/chart174.xml" ContentType="application/vnd.openxmlformats-officedocument.drawingml.chart+xml"/>
  <Override PartName="/xl/charts/chart56.xml" ContentType="application/vnd.openxmlformats-officedocument.drawingml.chart+xml"/>
  <Override PartName="/xl/charts/chart105.xml" ContentType="application/vnd.openxmlformats-officedocument.drawingml.chart+xml"/>
  <Override PartName="/xl/charts/chart152.xml" ContentType="application/vnd.openxmlformats-officedocument.drawingml.chart+xml"/>
  <Override PartName="/xl/drawings/drawing13.xml" ContentType="application/vnd.openxmlformats-officedocument.drawing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81.xml" ContentType="application/vnd.openxmlformats-officedocument.drawingml.chart+xml"/>
  <Override PartName="/xl/charts/chart92.xml" ContentType="application/vnd.openxmlformats-officedocument.drawingml.chart+xml"/>
  <Override PartName="/xl/charts/chart141.xml" ContentType="application/vnd.openxmlformats-officedocument.drawingml.chart+xml"/>
  <Override PartName="/xl/charts/chart228.xml" ContentType="application/vnd.openxmlformats-officedocument.drawingml.chart+xml"/>
  <Override PartName="/xl/charts/chart239.xml" ContentType="application/vnd.openxmlformats-officedocument.drawingml.char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charts/chart70.xml" ContentType="application/vnd.openxmlformats-officedocument.drawingml.chart+xml"/>
  <Override PartName="/xl/charts/chart130.xml" ContentType="application/vnd.openxmlformats-officedocument.drawingml.chart+xml"/>
  <Override PartName="/xl/charts/chart217.xml" ContentType="application/vnd.openxmlformats-officedocument.drawingml.chart+xml"/>
  <Override PartName="/xl/charts/chart12.xml" ContentType="application/vnd.openxmlformats-officedocument.drawingml.chart+xml"/>
  <Override PartName="/xl/charts/chart206.xml" ContentType="application/vnd.openxmlformats-officedocument.drawingml.chart+xml"/>
  <Default Extension="bin" ContentType="application/vnd.openxmlformats-officedocument.spreadsheetml.printerSettings"/>
  <Override PartName="/xl/charts/chart179.xml" ContentType="application/vnd.openxmlformats-officedocument.drawingml.chart+xml"/>
  <Override PartName="/xl/charts/chart231.xml" ContentType="application/vnd.openxmlformats-officedocument.drawingml.chart+xml"/>
  <Override PartName="/xl/charts/chart242.xml" ContentType="application/vnd.openxmlformats-officedocument.drawingml.chart+xml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charts/chart168.xml" ContentType="application/vnd.openxmlformats-officedocument.drawingml.chart+xml"/>
  <Override PartName="/xl/charts/chart220.xml" ContentType="application/vnd.openxmlformats-officedocument.drawingml.chart+xml"/>
  <Override PartName="/xl/charts/chart97.xml" ContentType="application/vnd.openxmlformats-officedocument.drawingml.chart+xml"/>
  <Override PartName="/xl/charts/chart157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charts/chart86.xml" ContentType="application/vnd.openxmlformats-officedocument.drawingml.chart+xml"/>
  <Override PartName="/xl/charts/chart135.xml" ContentType="application/vnd.openxmlformats-officedocument.drawingml.chart+xml"/>
  <Override PartName="/xl/charts/chart146.xml" ContentType="application/vnd.openxmlformats-officedocument.drawingml.chart+xml"/>
  <Override PartName="/xl/charts/chart182.xml" ContentType="application/vnd.openxmlformats-officedocument.drawingml.chart+xml"/>
  <Override PartName="/xl/charts/chart193.xml" ContentType="application/vnd.openxmlformats-officedocument.drawingml.chart+xml"/>
  <Override PartName="/xl/charts/chart28.xml" ContentType="application/vnd.openxmlformats-officedocument.drawingml.chart+xml"/>
  <Override PartName="/xl/charts/chart75.xml" ContentType="application/vnd.openxmlformats-officedocument.drawingml.chart+xml"/>
  <Override PartName="/xl/charts/chart124.xml" ContentType="application/vnd.openxmlformats-officedocument.drawingml.chart+xml"/>
  <Override PartName="/xl/charts/chart171.xml" ContentType="application/vnd.openxmlformats-officedocument.drawingml.chart+xml"/>
  <Override PartName="/xl/charts/chart17.xml" ContentType="application/vnd.openxmlformats-officedocument.drawingml.chart+xml"/>
  <Override PartName="/xl/charts/chart53.xml" ContentType="application/vnd.openxmlformats-officedocument.drawingml.chart+xml"/>
  <Override PartName="/xl/charts/chart64.xml" ContentType="application/vnd.openxmlformats-officedocument.drawingml.chart+xml"/>
  <Override PartName="/xl/charts/chart113.xml" ContentType="application/vnd.openxmlformats-officedocument.drawingml.chart+xml"/>
  <Override PartName="/xl/charts/chart160.xml" ContentType="application/vnd.openxmlformats-officedocument.drawingml.chart+xml"/>
  <Override PartName="/xl/charts/chart42.xml" ContentType="application/vnd.openxmlformats-officedocument.drawingml.chart+xml"/>
  <Override PartName="/xl/charts/chart102.xml" ContentType="application/vnd.openxmlformats-officedocument.drawingml.chart+xml"/>
  <Override PartName="/xl/drawings/drawing10.xml" ContentType="application/vnd.openxmlformats-officedocument.drawing+xml"/>
  <Override PartName="/xl/charts/chart236.xml" ContentType="application/vnd.openxmlformats-officedocument.drawingml.chart+xml"/>
  <Override PartName="/xl/charts/chart31.xml" ContentType="application/vnd.openxmlformats-officedocument.drawingml.chart+xml"/>
  <Override PartName="/xl/charts/chart225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autoCompressPictures="0"/>
  <bookViews>
    <workbookView xWindow="225" yWindow="60" windowWidth="19320" windowHeight="15345" tabRatio="903" firstSheet="10" activeTab="13"/>
  </bookViews>
  <sheets>
    <sheet name="General metal graphs" sheetId="1" r:id="rId1"/>
    <sheet name="UK Distances" sheetId="2" r:id="rId2"/>
    <sheet name="Scottish Distances" sheetId="3" r:id="rId3"/>
    <sheet name="Diesel Costs and Dashboard Data" sheetId="4" r:id="rId4"/>
    <sheet name="Waste by Sites" sheetId="5" r:id="rId5"/>
    <sheet name="Activated Metal" sheetId="6" r:id="rId6"/>
    <sheet name="WAGR Steels Results" sheetId="7" r:id="rId7"/>
    <sheet name="WAGR Container Results" sheetId="8" r:id="rId8"/>
    <sheet name="WAGR Disposal Results" sheetId="9" r:id="rId9"/>
    <sheet name="WAGR Reference Results" sheetId="10" r:id="rId10"/>
    <sheet name="WAGR  Other Inter'l Results" sheetId="11" r:id="rId11"/>
    <sheet name="WAGR Recycling Variations" sheetId="12" r:id="rId12"/>
    <sheet name="WAGR Transport" sheetId="13" r:id="rId13"/>
    <sheet name="Invnetory Study Results" sheetId="14" r:id="rId14"/>
    <sheet name="Inventory Study Costs" sheetId="15" r:id="rId15"/>
    <sheet name="DNLEU Results" sheetId="16" r:id="rId16"/>
  </sheets>
  <definedNames>
    <definedName name="_xlnm.Print_Area" localSheetId="0">'General metal graphs'!$A$1:$U$314</definedName>
    <definedName name="_xlnm.Print_Area" localSheetId="13">'Invnetory Study Results'!$A$1:$AX$95</definedName>
    <definedName name="_xlnm.Print_Area" localSheetId="1">'UK Distances'!$A$1:$J$56</definedName>
    <definedName name="_xlnm.Print_Area" localSheetId="11">'WAGR Recycling Variations'!$A$1:$Q$352</definedName>
    <definedName name="_xlnm.Print_Area" localSheetId="9">'WAGR Reference Results'!$A$1:$N$103</definedName>
    <definedName name="_xlnm.Print_Area" localSheetId="4">'Waste by Sites'!$A$1:$U$196</definedName>
  </definedNames>
  <calcPr calcId="114210" concurrentCalc="0"/>
</workbook>
</file>

<file path=xl/calcChain.xml><?xml version="1.0" encoding="utf-8"?>
<calcChain xmlns="http://schemas.openxmlformats.org/spreadsheetml/2006/main">
  <c r="B9" i="6"/>
  <c r="C9"/>
  <c r="D9"/>
  <c r="E9"/>
  <c r="F9"/>
  <c r="G9"/>
  <c r="H9"/>
  <c r="I9"/>
  <c r="B14"/>
  <c r="C14"/>
  <c r="D14"/>
  <c r="E14"/>
  <c r="F14"/>
  <c r="G14"/>
  <c r="H14"/>
  <c r="I14"/>
  <c r="B19"/>
  <c r="C19"/>
  <c r="D19"/>
  <c r="E19"/>
  <c r="F19"/>
  <c r="G19"/>
  <c r="H19"/>
  <c r="I19"/>
  <c r="B24"/>
  <c r="C24"/>
  <c r="D24"/>
  <c r="E24"/>
  <c r="F24"/>
  <c r="G24"/>
  <c r="H24"/>
  <c r="I24"/>
  <c r="E32"/>
  <c r="K32"/>
  <c r="B37"/>
  <c r="C37"/>
  <c r="D37"/>
  <c r="E37"/>
  <c r="F37"/>
  <c r="G37"/>
  <c r="H37"/>
  <c r="I37"/>
  <c r="J37"/>
  <c r="K37"/>
  <c r="B42"/>
  <c r="C42"/>
  <c r="D42"/>
  <c r="E42"/>
  <c r="F42"/>
  <c r="G42"/>
  <c r="H42"/>
  <c r="I42"/>
  <c r="J42"/>
  <c r="K42"/>
  <c r="E47"/>
  <c r="K47"/>
  <c r="N4" i="4"/>
  <c r="N5"/>
  <c r="N6"/>
  <c r="N7"/>
  <c r="N8"/>
  <c r="N9"/>
  <c r="N10"/>
  <c r="N11"/>
  <c r="B99"/>
  <c r="D99"/>
  <c r="D100"/>
  <c r="D101"/>
  <c r="D102"/>
  <c r="D103"/>
  <c r="D104"/>
  <c r="B105"/>
  <c r="C105"/>
  <c r="D105"/>
  <c r="B129"/>
  <c r="C127"/>
  <c r="B137"/>
  <c r="C135"/>
  <c r="C134"/>
  <c r="C136"/>
  <c r="C133"/>
  <c r="C124"/>
  <c r="C126"/>
  <c r="C128"/>
  <c r="C125"/>
  <c r="C129"/>
  <c r="C137"/>
  <c r="O383" i="16"/>
  <c r="N383"/>
  <c r="M383"/>
  <c r="L383"/>
  <c r="K383"/>
  <c r="J383"/>
  <c r="P383"/>
  <c r="O382"/>
  <c r="N382"/>
  <c r="M382"/>
  <c r="L382"/>
  <c r="K382"/>
  <c r="J382"/>
  <c r="P382"/>
  <c r="O381"/>
  <c r="N381"/>
  <c r="M381"/>
  <c r="L381"/>
  <c r="K381"/>
  <c r="J381"/>
  <c r="P381"/>
  <c r="O380"/>
  <c r="N380"/>
  <c r="M380"/>
  <c r="L380"/>
  <c r="K380"/>
  <c r="J380"/>
  <c r="P380"/>
  <c r="O379"/>
  <c r="N379"/>
  <c r="M379"/>
  <c r="L379"/>
  <c r="K379"/>
  <c r="J379"/>
  <c r="P379"/>
  <c r="O378"/>
  <c r="N378"/>
  <c r="M378"/>
  <c r="L378"/>
  <c r="K378"/>
  <c r="J378"/>
  <c r="P378"/>
  <c r="O377"/>
  <c r="N377"/>
  <c r="M377"/>
  <c r="L377"/>
  <c r="K377"/>
  <c r="J377"/>
  <c r="P377"/>
  <c r="O376"/>
  <c r="N376"/>
  <c r="M376"/>
  <c r="L376"/>
  <c r="K376"/>
  <c r="J376"/>
  <c r="P376"/>
  <c r="P373"/>
  <c r="P372"/>
  <c r="P371"/>
  <c r="P370"/>
  <c r="P369"/>
  <c r="P368"/>
  <c r="P367"/>
  <c r="P366"/>
  <c r="P363"/>
  <c r="P362"/>
  <c r="P361"/>
  <c r="P360"/>
  <c r="P359"/>
  <c r="P358"/>
  <c r="P357"/>
  <c r="P356"/>
  <c r="O353"/>
  <c r="N353"/>
  <c r="M353"/>
  <c r="L353"/>
  <c r="K353"/>
  <c r="O352"/>
  <c r="N352"/>
  <c r="M352"/>
  <c r="L352"/>
  <c r="K352"/>
  <c r="O351"/>
  <c r="N351"/>
  <c r="M351"/>
  <c r="L351"/>
  <c r="K351"/>
  <c r="O350"/>
  <c r="N350"/>
  <c r="M350"/>
  <c r="L350"/>
  <c r="K350"/>
  <c r="O349"/>
  <c r="N349"/>
  <c r="M349"/>
  <c r="L349"/>
  <c r="K349"/>
  <c r="O348"/>
  <c r="N348"/>
  <c r="M348"/>
  <c r="L348"/>
  <c r="K348"/>
  <c r="O347"/>
  <c r="N347"/>
  <c r="M347"/>
  <c r="L347"/>
  <c r="K347"/>
  <c r="O346"/>
  <c r="N346"/>
  <c r="M346"/>
  <c r="L346"/>
  <c r="K346"/>
  <c r="J353"/>
  <c r="J352"/>
  <c r="J351"/>
  <c r="J350"/>
  <c r="J349"/>
  <c r="J348"/>
  <c r="J347"/>
  <c r="J346"/>
  <c r="P353"/>
  <c r="P352"/>
  <c r="P351"/>
  <c r="P350"/>
  <c r="P349"/>
  <c r="P348"/>
  <c r="P347"/>
  <c r="P346"/>
  <c r="P343"/>
  <c r="P342"/>
  <c r="P341"/>
  <c r="P340"/>
  <c r="P339"/>
  <c r="P338"/>
  <c r="P337"/>
  <c r="P336"/>
  <c r="P326"/>
  <c r="P333"/>
  <c r="P332"/>
  <c r="P331"/>
  <c r="P330"/>
  <c r="P329"/>
  <c r="P328"/>
  <c r="P327"/>
  <c r="B346"/>
  <c r="C403"/>
  <c r="C402"/>
  <c r="C401"/>
  <c r="B401"/>
  <c r="D351"/>
  <c r="D350"/>
  <c r="D349"/>
  <c r="D348"/>
  <c r="D347"/>
  <c r="D346"/>
  <c r="B383"/>
  <c r="B382"/>
  <c r="B381"/>
  <c r="B380"/>
  <c r="B379"/>
  <c r="B378"/>
  <c r="B377"/>
  <c r="F383"/>
  <c r="E383"/>
  <c r="D383"/>
  <c r="C383"/>
  <c r="F382"/>
  <c r="E382"/>
  <c r="D382"/>
  <c r="C382"/>
  <c r="F381"/>
  <c r="E381"/>
  <c r="D381"/>
  <c r="C381"/>
  <c r="F380"/>
  <c r="E380"/>
  <c r="D380"/>
  <c r="C380"/>
  <c r="F379"/>
  <c r="E379"/>
  <c r="D379"/>
  <c r="C379"/>
  <c r="F378"/>
  <c r="E378"/>
  <c r="D378"/>
  <c r="C378"/>
  <c r="F377"/>
  <c r="E377"/>
  <c r="D377"/>
  <c r="C377"/>
  <c r="F376"/>
  <c r="E376"/>
  <c r="D376"/>
  <c r="C376"/>
  <c r="B376"/>
  <c r="G373"/>
  <c r="G372"/>
  <c r="G371"/>
  <c r="G361"/>
  <c r="G381"/>
  <c r="C391"/>
  <c r="G370"/>
  <c r="G369"/>
  <c r="G359"/>
  <c r="G379"/>
  <c r="C389"/>
  <c r="G368"/>
  <c r="G367"/>
  <c r="G357"/>
  <c r="G377"/>
  <c r="C387"/>
  <c r="G366"/>
  <c r="G363"/>
  <c r="G383"/>
  <c r="C393"/>
  <c r="G362"/>
  <c r="G382"/>
  <c r="C392"/>
  <c r="G360"/>
  <c r="G380"/>
  <c r="C390"/>
  <c r="G358"/>
  <c r="G378"/>
  <c r="C388"/>
  <c r="G356"/>
  <c r="G376"/>
  <c r="C386"/>
  <c r="F353"/>
  <c r="E353"/>
  <c r="D353"/>
  <c r="C353"/>
  <c r="F352"/>
  <c r="E352"/>
  <c r="D352"/>
  <c r="C352"/>
  <c r="F351"/>
  <c r="E351"/>
  <c r="C351"/>
  <c r="F350"/>
  <c r="E350"/>
  <c r="C350"/>
  <c r="F349"/>
  <c r="E349"/>
  <c r="C349"/>
  <c r="F348"/>
  <c r="E348"/>
  <c r="C348"/>
  <c r="F347"/>
  <c r="E347"/>
  <c r="C347"/>
  <c r="B353"/>
  <c r="B352"/>
  <c r="B351"/>
  <c r="G351"/>
  <c r="B391"/>
  <c r="B350"/>
  <c r="G350"/>
  <c r="B390"/>
  <c r="B349"/>
  <c r="G349"/>
  <c r="B389"/>
  <c r="B348"/>
  <c r="G348"/>
  <c r="B388"/>
  <c r="B347"/>
  <c r="G347"/>
  <c r="B387"/>
  <c r="F346"/>
  <c r="E346"/>
  <c r="C346"/>
  <c r="G346"/>
  <c r="B386"/>
  <c r="G353"/>
  <c r="G352"/>
  <c r="G343"/>
  <c r="G342"/>
  <c r="G341"/>
  <c r="G340"/>
  <c r="G339"/>
  <c r="G338"/>
  <c r="G337"/>
  <c r="G336"/>
  <c r="G333"/>
  <c r="G332"/>
  <c r="G331"/>
  <c r="G330"/>
  <c r="G329"/>
  <c r="G328"/>
  <c r="G327"/>
  <c r="G326"/>
  <c r="D41"/>
  <c r="D39"/>
  <c r="D38"/>
  <c r="D35"/>
  <c r="D34"/>
  <c r="D32"/>
  <c r="D31"/>
  <c r="D21"/>
  <c r="D19"/>
  <c r="C41"/>
  <c r="C38"/>
  <c r="C37"/>
  <c r="C36"/>
  <c r="C35"/>
  <c r="C34"/>
  <c r="C33"/>
  <c r="C32"/>
  <c r="C31"/>
  <c r="C27"/>
  <c r="C19"/>
  <c r="C17"/>
  <c r="C16"/>
  <c r="C15"/>
  <c r="C14"/>
  <c r="C13"/>
  <c r="C12"/>
  <c r="C11"/>
  <c r="C10"/>
  <c r="B16"/>
  <c r="B37"/>
  <c r="B36"/>
  <c r="B35"/>
  <c r="B34"/>
  <c r="B32"/>
  <c r="B31"/>
  <c r="F15"/>
  <c r="B18"/>
  <c r="B17"/>
  <c r="B19"/>
  <c r="B20"/>
  <c r="B21"/>
  <c r="E21"/>
  <c r="B15"/>
  <c r="B13"/>
  <c r="B12"/>
  <c r="B11"/>
  <c r="B10"/>
  <c r="B14"/>
  <c r="E15"/>
  <c r="G281"/>
  <c r="D9"/>
  <c r="C9"/>
  <c r="D8"/>
  <c r="C8"/>
  <c r="D7"/>
  <c r="C7"/>
  <c r="D6"/>
  <c r="C6"/>
  <c r="D5"/>
  <c r="C5"/>
  <c r="D4"/>
  <c r="G9"/>
  <c r="C4"/>
  <c r="F9"/>
  <c r="B9"/>
  <c r="B8"/>
  <c r="B7"/>
  <c r="B320"/>
  <c r="B318"/>
  <c r="B316"/>
  <c r="B315"/>
  <c r="B314"/>
  <c r="B313"/>
  <c r="B312"/>
  <c r="B311"/>
  <c r="B310"/>
  <c r="C318"/>
  <c r="C313"/>
  <c r="C311"/>
  <c r="D320"/>
  <c r="D318"/>
  <c r="D316"/>
  <c r="D314"/>
  <c r="D313"/>
  <c r="D310"/>
  <c r="E320"/>
  <c r="E318"/>
  <c r="E315"/>
  <c r="E314"/>
  <c r="E313"/>
  <c r="E312"/>
  <c r="E311"/>
  <c r="E310"/>
  <c r="F320"/>
  <c r="F318"/>
  <c r="F317"/>
  <c r="F316"/>
  <c r="F313"/>
  <c r="F312"/>
  <c r="F310"/>
  <c r="S292"/>
  <c r="R292"/>
  <c r="Q292"/>
  <c r="S291"/>
  <c r="R291"/>
  <c r="Q291"/>
  <c r="S290"/>
  <c r="R290"/>
  <c r="Q290"/>
  <c r="S289"/>
  <c r="R289"/>
  <c r="Q289"/>
  <c r="S288"/>
  <c r="R288"/>
  <c r="Q288"/>
  <c r="S287"/>
  <c r="R287"/>
  <c r="Q287"/>
  <c r="S286"/>
  <c r="R286"/>
  <c r="Q286"/>
  <c r="S285"/>
  <c r="R285"/>
  <c r="Q285"/>
  <c r="S284"/>
  <c r="R284"/>
  <c r="Q284"/>
  <c r="S283"/>
  <c r="R283"/>
  <c r="Q283"/>
  <c r="S282"/>
  <c r="R282"/>
  <c r="R293"/>
  <c r="Q282"/>
  <c r="S293"/>
  <c r="Q293"/>
  <c r="F281"/>
  <c r="E281"/>
  <c r="B269"/>
  <c r="C269"/>
  <c r="B276"/>
  <c r="C276"/>
  <c r="S228"/>
  <c r="R228"/>
  <c r="Q228"/>
  <c r="S227"/>
  <c r="R227"/>
  <c r="Q227"/>
  <c r="S226"/>
  <c r="R226"/>
  <c r="Q226"/>
  <c r="S225"/>
  <c r="R225"/>
  <c r="Q225"/>
  <c r="S224"/>
  <c r="R224"/>
  <c r="Q224"/>
  <c r="S223"/>
  <c r="R223"/>
  <c r="Q223"/>
  <c r="S222"/>
  <c r="R222"/>
  <c r="Q222"/>
  <c r="S221"/>
  <c r="R221"/>
  <c r="Q221"/>
  <c r="S220"/>
  <c r="R220"/>
  <c r="Q220"/>
  <c r="S219"/>
  <c r="R219"/>
  <c r="Q219"/>
  <c r="S218"/>
  <c r="R218"/>
  <c r="R229"/>
  <c r="Q218"/>
  <c r="S229"/>
  <c r="Q229"/>
  <c r="B218"/>
  <c r="B217"/>
  <c r="D223"/>
  <c r="E223"/>
  <c r="B211"/>
  <c r="B210"/>
  <c r="C211"/>
  <c r="C218"/>
  <c r="B152"/>
  <c r="B151"/>
  <c r="Q174"/>
  <c r="Q168"/>
  <c r="S178"/>
  <c r="R178"/>
  <c r="Q178"/>
  <c r="S177"/>
  <c r="R177"/>
  <c r="Q177"/>
  <c r="S176"/>
  <c r="R176"/>
  <c r="Q176"/>
  <c r="S175"/>
  <c r="R175"/>
  <c r="Q175"/>
  <c r="S174"/>
  <c r="R174"/>
  <c r="S173"/>
  <c r="R173"/>
  <c r="Q173"/>
  <c r="S172"/>
  <c r="R172"/>
  <c r="Q172"/>
  <c r="S171"/>
  <c r="R171"/>
  <c r="Q171"/>
  <c r="S170"/>
  <c r="R170"/>
  <c r="Q170"/>
  <c r="S169"/>
  <c r="R169"/>
  <c r="R168"/>
  <c r="R179"/>
  <c r="Q169"/>
  <c r="S168"/>
  <c r="S179"/>
  <c r="Q179"/>
  <c r="D163"/>
  <c r="C151"/>
  <c r="B158"/>
  <c r="C158"/>
  <c r="S110"/>
  <c r="R110"/>
  <c r="Q110"/>
  <c r="S109"/>
  <c r="R109"/>
  <c r="Q109"/>
  <c r="S108"/>
  <c r="R108"/>
  <c r="Q108"/>
  <c r="S107"/>
  <c r="R107"/>
  <c r="Q107"/>
  <c r="S106"/>
  <c r="R106"/>
  <c r="Q106"/>
  <c r="S105"/>
  <c r="R105"/>
  <c r="Q105"/>
  <c r="S104"/>
  <c r="R104"/>
  <c r="Q104"/>
  <c r="S103"/>
  <c r="R103"/>
  <c r="Q103"/>
  <c r="S102"/>
  <c r="R102"/>
  <c r="Q102"/>
  <c r="S101"/>
  <c r="R101"/>
  <c r="Q101"/>
  <c r="S100"/>
  <c r="R100"/>
  <c r="R111"/>
  <c r="Q100"/>
  <c r="S111"/>
  <c r="Q111"/>
  <c r="B97"/>
  <c r="C97"/>
  <c r="S79"/>
  <c r="R79"/>
  <c r="S78"/>
  <c r="R78"/>
  <c r="S77"/>
  <c r="R77"/>
  <c r="S76"/>
  <c r="R76"/>
  <c r="S75"/>
  <c r="R75"/>
  <c r="S74"/>
  <c r="R74"/>
  <c r="S73"/>
  <c r="R73"/>
  <c r="S72"/>
  <c r="R72"/>
  <c r="S71"/>
  <c r="R71"/>
  <c r="S70"/>
  <c r="R70"/>
  <c r="S69"/>
  <c r="R69"/>
  <c r="Q79"/>
  <c r="Q77"/>
  <c r="Q76"/>
  <c r="Q75"/>
  <c r="Q74"/>
  <c r="Q73"/>
  <c r="Q72"/>
  <c r="Q71"/>
  <c r="Q70"/>
  <c r="Q69"/>
  <c r="S80"/>
  <c r="R80"/>
  <c r="Q78"/>
  <c r="Q80"/>
  <c r="B78"/>
  <c r="B79"/>
  <c r="B104"/>
  <c r="B73"/>
  <c r="C73"/>
  <c r="B64"/>
  <c r="B66"/>
  <c r="B65"/>
  <c r="C66"/>
  <c r="F319"/>
  <c r="F315"/>
  <c r="F314"/>
  <c r="F311"/>
  <c r="F321"/>
  <c r="G310"/>
  <c r="G311"/>
  <c r="G312"/>
  <c r="G313"/>
  <c r="G314"/>
  <c r="G315"/>
  <c r="G316"/>
  <c r="G317"/>
  <c r="G318"/>
  <c r="G319"/>
  <c r="G320"/>
  <c r="G321"/>
  <c r="E316"/>
  <c r="E317"/>
  <c r="E319"/>
  <c r="E321"/>
  <c r="D311"/>
  <c r="D312"/>
  <c r="D315"/>
  <c r="D317"/>
  <c r="D319"/>
  <c r="D321"/>
  <c r="C310"/>
  <c r="C312"/>
  <c r="C314"/>
  <c r="C315"/>
  <c r="C316"/>
  <c r="C317"/>
  <c r="C319"/>
  <c r="C320"/>
  <c r="C321"/>
  <c r="B317"/>
  <c r="B319"/>
  <c r="B321"/>
  <c r="F280"/>
  <c r="G280"/>
  <c r="G282"/>
  <c r="G283"/>
  <c r="E280"/>
  <c r="D280"/>
  <c r="D281"/>
  <c r="D282"/>
  <c r="D283"/>
  <c r="C280"/>
  <c r="C281"/>
  <c r="C282"/>
  <c r="C283"/>
  <c r="B280"/>
  <c r="B281"/>
  <c r="B282"/>
  <c r="B283"/>
  <c r="B275"/>
  <c r="B274"/>
  <c r="B273"/>
  <c r="B272"/>
  <c r="B271"/>
  <c r="B270"/>
  <c r="C275"/>
  <c r="F282"/>
  <c r="F283"/>
  <c r="B263"/>
  <c r="B264"/>
  <c r="B265"/>
  <c r="B266"/>
  <c r="B267"/>
  <c r="B268"/>
  <c r="B277"/>
  <c r="E251"/>
  <c r="E250"/>
  <c r="E249"/>
  <c r="E252"/>
  <c r="E253"/>
  <c r="E248"/>
  <c r="E247"/>
  <c r="E246"/>
  <c r="E245"/>
  <c r="E244"/>
  <c r="E243"/>
  <c r="E254"/>
  <c r="F243"/>
  <c r="F244"/>
  <c r="F245"/>
  <c r="F246"/>
  <c r="F247"/>
  <c r="F248"/>
  <c r="F249"/>
  <c r="F250"/>
  <c r="F251"/>
  <c r="F252"/>
  <c r="F253"/>
  <c r="F254"/>
  <c r="D243"/>
  <c r="D244"/>
  <c r="D245"/>
  <c r="D246"/>
  <c r="D247"/>
  <c r="D248"/>
  <c r="D249"/>
  <c r="D250"/>
  <c r="D251"/>
  <c r="D252"/>
  <c r="D253"/>
  <c r="D254"/>
  <c r="C243"/>
  <c r="C244"/>
  <c r="C245"/>
  <c r="C246"/>
  <c r="C247"/>
  <c r="C248"/>
  <c r="C249"/>
  <c r="C250"/>
  <c r="C251"/>
  <c r="C252"/>
  <c r="C253"/>
  <c r="C254"/>
  <c r="B243"/>
  <c r="B244"/>
  <c r="B245"/>
  <c r="B246"/>
  <c r="B247"/>
  <c r="B248"/>
  <c r="B249"/>
  <c r="B250"/>
  <c r="B251"/>
  <c r="B252"/>
  <c r="B253"/>
  <c r="B254"/>
  <c r="E222"/>
  <c r="F222"/>
  <c r="F223"/>
  <c r="F224"/>
  <c r="F225"/>
  <c r="D222"/>
  <c r="C222"/>
  <c r="C223"/>
  <c r="C224"/>
  <c r="C225"/>
  <c r="B222"/>
  <c r="B223"/>
  <c r="B224"/>
  <c r="B225"/>
  <c r="B215"/>
  <c r="B214"/>
  <c r="B204"/>
  <c r="B205"/>
  <c r="B206"/>
  <c r="B207"/>
  <c r="B208"/>
  <c r="B209"/>
  <c r="B212"/>
  <c r="B213"/>
  <c r="B216"/>
  <c r="B219"/>
  <c r="C217"/>
  <c r="B62"/>
  <c r="B87"/>
  <c r="B148"/>
  <c r="B5"/>
  <c r="B60"/>
  <c r="B85"/>
  <c r="B146"/>
  <c r="D199"/>
  <c r="D198"/>
  <c r="D197"/>
  <c r="D196"/>
  <c r="D195"/>
  <c r="D194"/>
  <c r="D193"/>
  <c r="D192"/>
  <c r="D191"/>
  <c r="D190"/>
  <c r="D189"/>
  <c r="D200"/>
  <c r="E189"/>
  <c r="E190"/>
  <c r="E191"/>
  <c r="E192"/>
  <c r="E193"/>
  <c r="E194"/>
  <c r="E195"/>
  <c r="E196"/>
  <c r="E197"/>
  <c r="E198"/>
  <c r="E199"/>
  <c r="E200"/>
  <c r="C189"/>
  <c r="C190"/>
  <c r="C191"/>
  <c r="C192"/>
  <c r="C193"/>
  <c r="C194"/>
  <c r="C195"/>
  <c r="C196"/>
  <c r="C197"/>
  <c r="C198"/>
  <c r="C199"/>
  <c r="C200"/>
  <c r="B189"/>
  <c r="B190"/>
  <c r="B191"/>
  <c r="B192"/>
  <c r="B193"/>
  <c r="B194"/>
  <c r="B195"/>
  <c r="B196"/>
  <c r="B197"/>
  <c r="B198"/>
  <c r="B199"/>
  <c r="B200"/>
  <c r="B4"/>
  <c r="B6"/>
  <c r="E9"/>
  <c r="E22"/>
  <c r="D10"/>
  <c r="D11"/>
  <c r="D12"/>
  <c r="D13"/>
  <c r="D14"/>
  <c r="D15"/>
  <c r="G15"/>
  <c r="D16"/>
  <c r="D17"/>
  <c r="C18"/>
  <c r="C20"/>
  <c r="C21"/>
  <c r="F21"/>
  <c r="F22"/>
  <c r="D18"/>
  <c r="D20"/>
  <c r="G21"/>
  <c r="D22"/>
  <c r="B25"/>
  <c r="C25"/>
  <c r="C26"/>
  <c r="C28"/>
  <c r="D25"/>
  <c r="D26"/>
  <c r="D27"/>
  <c r="D28"/>
  <c r="B26"/>
  <c r="B27"/>
  <c r="B28"/>
  <c r="B33"/>
  <c r="B38"/>
  <c r="B39"/>
  <c r="B40"/>
  <c r="B41"/>
  <c r="B42"/>
  <c r="D33"/>
  <c r="D36"/>
  <c r="D37"/>
  <c r="D40"/>
  <c r="D42"/>
  <c r="C39"/>
  <c r="C40"/>
  <c r="C42"/>
  <c r="B59"/>
  <c r="B61"/>
  <c r="B63"/>
  <c r="C64"/>
  <c r="B67"/>
  <c r="B68"/>
  <c r="B69"/>
  <c r="B70"/>
  <c r="B71"/>
  <c r="B72"/>
  <c r="C72"/>
  <c r="C78"/>
  <c r="C79"/>
  <c r="C80"/>
  <c r="C81"/>
  <c r="B84"/>
  <c r="B86"/>
  <c r="B88"/>
  <c r="B89"/>
  <c r="B90"/>
  <c r="B91"/>
  <c r="B92"/>
  <c r="B93"/>
  <c r="B94"/>
  <c r="B95"/>
  <c r="B96"/>
  <c r="B98"/>
  <c r="C90"/>
  <c r="C96"/>
  <c r="B103"/>
  <c r="C103"/>
  <c r="D103"/>
  <c r="C104"/>
  <c r="D104"/>
  <c r="D105"/>
  <c r="D106"/>
  <c r="B128"/>
  <c r="C128"/>
  <c r="C129"/>
  <c r="C130"/>
  <c r="C131"/>
  <c r="C132"/>
  <c r="C133"/>
  <c r="C134"/>
  <c r="C135"/>
  <c r="C136"/>
  <c r="C137"/>
  <c r="C138"/>
  <c r="C139"/>
  <c r="D128"/>
  <c r="B129"/>
  <c r="D129"/>
  <c r="B130"/>
  <c r="B131"/>
  <c r="B132"/>
  <c r="B133"/>
  <c r="B134"/>
  <c r="B135"/>
  <c r="B136"/>
  <c r="B137"/>
  <c r="B138"/>
  <c r="B139"/>
  <c r="D130"/>
  <c r="D131"/>
  <c r="D132"/>
  <c r="D133"/>
  <c r="D134"/>
  <c r="D135"/>
  <c r="D136"/>
  <c r="D137"/>
  <c r="D138"/>
  <c r="D139"/>
  <c r="B145"/>
  <c r="B147"/>
  <c r="B149"/>
  <c r="B150"/>
  <c r="C150"/>
  <c r="B153"/>
  <c r="B154"/>
  <c r="B155"/>
  <c r="B156"/>
  <c r="B157"/>
  <c r="C157"/>
  <c r="B162"/>
  <c r="B163"/>
  <c r="B164"/>
  <c r="B165"/>
  <c r="C162"/>
  <c r="D162"/>
  <c r="E162"/>
  <c r="C163"/>
  <c r="E163"/>
  <c r="E164"/>
  <c r="E165"/>
  <c r="C22"/>
  <c r="B74"/>
  <c r="C89"/>
  <c r="B159"/>
  <c r="C209"/>
  <c r="C219"/>
  <c r="C268"/>
  <c r="C277"/>
  <c r="C164"/>
  <c r="C165"/>
  <c r="C98"/>
  <c r="C105"/>
  <c r="C106"/>
  <c r="C74"/>
  <c r="D224"/>
  <c r="D225"/>
  <c r="D164"/>
  <c r="D165"/>
  <c r="C159"/>
  <c r="B105"/>
  <c r="B106"/>
  <c r="B80"/>
  <c r="B81"/>
  <c r="G22"/>
  <c r="E282"/>
  <c r="E283"/>
  <c r="E224"/>
  <c r="E225"/>
  <c r="B22"/>
  <c r="E99" i="1"/>
  <c r="E101"/>
  <c r="B109"/>
  <c r="I122"/>
  <c r="I123"/>
  <c r="E155"/>
  <c r="E156"/>
  <c r="E157"/>
  <c r="C158"/>
  <c r="D158"/>
  <c r="E158"/>
  <c r="C159"/>
  <c r="D159"/>
  <c r="E159"/>
  <c r="C160"/>
  <c r="D160"/>
  <c r="E160"/>
  <c r="C161"/>
  <c r="D161"/>
  <c r="E161"/>
  <c r="C162"/>
  <c r="D162"/>
  <c r="E162"/>
  <c r="C163"/>
  <c r="D163"/>
  <c r="E163"/>
  <c r="C164"/>
  <c r="D164"/>
  <c r="E164"/>
  <c r="C165"/>
  <c r="D165"/>
  <c r="E165"/>
  <c r="C166"/>
  <c r="D171"/>
  <c r="D172"/>
  <c r="E172"/>
  <c r="D173"/>
  <c r="E173"/>
  <c r="D174"/>
  <c r="E174"/>
  <c r="D175"/>
  <c r="E175"/>
  <c r="D176"/>
  <c r="E176"/>
  <c r="D177"/>
  <c r="E177"/>
  <c r="D178"/>
  <c r="E178"/>
  <c r="D179"/>
  <c r="E179"/>
  <c r="D180"/>
  <c r="E180"/>
  <c r="D181"/>
  <c r="E181"/>
  <c r="C203"/>
  <c r="C204"/>
  <c r="C205"/>
  <c r="C206"/>
  <c r="C207"/>
  <c r="C208"/>
  <c r="C209"/>
  <c r="C210"/>
  <c r="C211"/>
  <c r="D187"/>
  <c r="D188"/>
  <c r="E188"/>
  <c r="D189"/>
  <c r="E189"/>
  <c r="D190"/>
  <c r="E190"/>
  <c r="D191"/>
  <c r="E191"/>
  <c r="D192"/>
  <c r="E192"/>
  <c r="D193"/>
  <c r="E193"/>
  <c r="D194"/>
  <c r="E194"/>
  <c r="D195"/>
  <c r="E195"/>
  <c r="D196"/>
  <c r="E196"/>
  <c r="D197"/>
  <c r="E197"/>
  <c r="C201"/>
  <c r="D201"/>
  <c r="D202"/>
  <c r="D203"/>
  <c r="D204"/>
  <c r="D205"/>
  <c r="D206"/>
  <c r="D207"/>
  <c r="D208"/>
  <c r="D209"/>
  <c r="D210"/>
  <c r="D211"/>
  <c r="E270"/>
  <c r="E271"/>
  <c r="E272"/>
  <c r="E273"/>
  <c r="E274"/>
  <c r="E275"/>
  <c r="E276"/>
  <c r="E277"/>
  <c r="E278"/>
  <c r="E279"/>
  <c r="E280"/>
  <c r="C281"/>
  <c r="D281"/>
  <c r="E281"/>
  <c r="C289"/>
  <c r="C290"/>
  <c r="C291"/>
  <c r="C292"/>
  <c r="C293"/>
  <c r="C294"/>
  <c r="C295"/>
  <c r="C296"/>
  <c r="C297"/>
  <c r="D297"/>
  <c r="C312"/>
  <c r="E166"/>
  <c r="C202"/>
  <c r="D166"/>
  <c r="B109" i="15"/>
  <c r="D109"/>
  <c r="B106"/>
  <c r="D106"/>
  <c r="D107"/>
  <c r="D108"/>
  <c r="D110"/>
  <c r="E109"/>
  <c r="B115"/>
  <c r="E108"/>
  <c r="B114"/>
  <c r="E107"/>
  <c r="B113"/>
  <c r="E106"/>
  <c r="B112"/>
  <c r="B94"/>
  <c r="D94"/>
  <c r="D90"/>
  <c r="B91"/>
  <c r="D91"/>
  <c r="B92"/>
  <c r="D92"/>
  <c r="C93"/>
  <c r="B93"/>
  <c r="D93"/>
  <c r="D95"/>
  <c r="E94"/>
  <c r="B102"/>
  <c r="E93"/>
  <c r="B101"/>
  <c r="E92"/>
  <c r="B100"/>
  <c r="E91"/>
  <c r="B99"/>
  <c r="E90"/>
  <c r="B98"/>
  <c r="C3"/>
  <c r="D3"/>
  <c r="C4"/>
  <c r="D4"/>
  <c r="C5"/>
  <c r="D5"/>
  <c r="C6"/>
  <c r="D6"/>
  <c r="C7"/>
  <c r="D7"/>
  <c r="I7"/>
  <c r="L7"/>
  <c r="C8"/>
  <c r="D8"/>
  <c r="C9"/>
  <c r="D9"/>
  <c r="C10"/>
  <c r="D10"/>
  <c r="C11"/>
  <c r="D11"/>
  <c r="C12"/>
  <c r="D12"/>
  <c r="C17"/>
  <c r="D17"/>
  <c r="C18"/>
  <c r="D18"/>
  <c r="C19"/>
  <c r="D19"/>
  <c r="C20"/>
  <c r="D20"/>
  <c r="C21"/>
  <c r="D21"/>
  <c r="I21"/>
  <c r="L21"/>
  <c r="C24"/>
  <c r="D24"/>
  <c r="C25"/>
  <c r="D25"/>
  <c r="C26"/>
  <c r="D26"/>
  <c r="C27"/>
  <c r="D27"/>
  <c r="C28"/>
  <c r="D28"/>
  <c r="C29"/>
  <c r="D29"/>
  <c r="C30"/>
  <c r="D30"/>
  <c r="C31"/>
  <c r="D31"/>
  <c r="F38"/>
  <c r="F39"/>
  <c r="I41"/>
  <c r="L41"/>
  <c r="E42"/>
  <c r="E45"/>
  <c r="B48"/>
  <c r="B49"/>
  <c r="B50"/>
  <c r="D57"/>
  <c r="E57"/>
  <c r="D58"/>
  <c r="E58"/>
  <c r="D59"/>
  <c r="E59"/>
  <c r="D60"/>
  <c r="E60"/>
  <c r="B61"/>
  <c r="C61"/>
  <c r="D61"/>
  <c r="E61"/>
  <c r="B63"/>
  <c r="C63"/>
  <c r="D63"/>
  <c r="E63"/>
  <c r="B64"/>
  <c r="C64"/>
  <c r="D64"/>
  <c r="E64"/>
  <c r="B65"/>
  <c r="C65"/>
  <c r="D65"/>
  <c r="E65"/>
  <c r="B66"/>
  <c r="C66"/>
  <c r="D66"/>
  <c r="E66"/>
  <c r="B67"/>
  <c r="C67"/>
  <c r="D67"/>
  <c r="E67"/>
  <c r="B68"/>
  <c r="C68"/>
  <c r="D68"/>
  <c r="E68"/>
  <c r="B69"/>
  <c r="C69"/>
  <c r="D69"/>
  <c r="E69"/>
  <c r="B70"/>
  <c r="C70"/>
  <c r="D70"/>
  <c r="E70"/>
  <c r="B71"/>
  <c r="C71"/>
  <c r="D71"/>
  <c r="E71"/>
  <c r="B72"/>
  <c r="C72"/>
  <c r="D72"/>
  <c r="E72"/>
  <c r="B73"/>
  <c r="C73"/>
  <c r="D73"/>
  <c r="E73"/>
  <c r="B74"/>
  <c r="C74"/>
  <c r="D74"/>
  <c r="E74"/>
  <c r="D75"/>
  <c r="E75"/>
  <c r="B76"/>
  <c r="C76"/>
  <c r="D76"/>
  <c r="E76"/>
  <c r="B77"/>
  <c r="C77"/>
  <c r="D77"/>
  <c r="E77"/>
  <c r="D78"/>
  <c r="E78"/>
  <c r="B79"/>
  <c r="C79"/>
  <c r="D79"/>
  <c r="E79"/>
  <c r="D80"/>
  <c r="E80"/>
  <c r="B81"/>
  <c r="C81"/>
  <c r="D81"/>
  <c r="E81"/>
  <c r="B83"/>
  <c r="C83"/>
  <c r="D83"/>
  <c r="E83"/>
  <c r="B84"/>
  <c r="C84"/>
  <c r="D84"/>
  <c r="E84"/>
  <c r="D85"/>
  <c r="E85"/>
  <c r="D86"/>
  <c r="E86"/>
  <c r="B14" i="14"/>
  <c r="E14"/>
  <c r="C14"/>
  <c r="T14"/>
  <c r="D14"/>
  <c r="V15"/>
  <c r="W15"/>
  <c r="D18"/>
  <c r="E18"/>
  <c r="D19"/>
  <c r="E19"/>
  <c r="D20"/>
  <c r="E20"/>
  <c r="D21"/>
  <c r="E21"/>
  <c r="D22"/>
  <c r="E22"/>
  <c r="D23"/>
  <c r="E23"/>
  <c r="D24"/>
  <c r="E24"/>
  <c r="D25"/>
  <c r="E25"/>
  <c r="B26"/>
  <c r="Q18"/>
  <c r="C26"/>
  <c r="D26"/>
  <c r="E26"/>
  <c r="E30"/>
  <c r="F30"/>
  <c r="E31"/>
  <c r="F31"/>
  <c r="E32"/>
  <c r="F32"/>
  <c r="E33"/>
  <c r="F33"/>
  <c r="E34"/>
  <c r="F34"/>
  <c r="E35"/>
  <c r="F35"/>
  <c r="B36"/>
  <c r="C36"/>
  <c r="R30"/>
  <c r="D36"/>
  <c r="E36"/>
  <c r="F36"/>
  <c r="Q36"/>
  <c r="F40"/>
  <c r="G40"/>
  <c r="F41"/>
  <c r="G41"/>
  <c r="F42"/>
  <c r="G42"/>
  <c r="F43"/>
  <c r="G43"/>
  <c r="C48"/>
  <c r="Q43"/>
  <c r="S43"/>
  <c r="F44"/>
  <c r="G44"/>
  <c r="R44"/>
  <c r="F45"/>
  <c r="G45"/>
  <c r="Q45"/>
  <c r="S45"/>
  <c r="F46"/>
  <c r="G46"/>
  <c r="R46"/>
  <c r="F47"/>
  <c r="G47"/>
  <c r="Q47"/>
  <c r="S47"/>
  <c r="B48"/>
  <c r="R40"/>
  <c r="D48"/>
  <c r="R48"/>
  <c r="E48"/>
  <c r="F48"/>
  <c r="G48"/>
  <c r="Q48"/>
  <c r="S48"/>
  <c r="AR48"/>
  <c r="AS48"/>
  <c r="AT48"/>
  <c r="T49"/>
  <c r="B52"/>
  <c r="C52"/>
  <c r="D52"/>
  <c r="E52"/>
  <c r="B53"/>
  <c r="B54"/>
  <c r="B55"/>
  <c r="B57"/>
  <c r="B59"/>
  <c r="B60"/>
  <c r="Q53"/>
  <c r="C53"/>
  <c r="D53"/>
  <c r="E53"/>
  <c r="C54"/>
  <c r="D54"/>
  <c r="E54"/>
  <c r="C55"/>
  <c r="D55"/>
  <c r="E55"/>
  <c r="D56"/>
  <c r="E56"/>
  <c r="C57"/>
  <c r="D57"/>
  <c r="E57"/>
  <c r="D58"/>
  <c r="E58"/>
  <c r="C59"/>
  <c r="D59"/>
  <c r="E59"/>
  <c r="Q60"/>
  <c r="B61"/>
  <c r="C61"/>
  <c r="Q61"/>
  <c r="R61"/>
  <c r="D64"/>
  <c r="E64"/>
  <c r="Q64"/>
  <c r="R64"/>
  <c r="AT64"/>
  <c r="AV64"/>
  <c r="AW64"/>
  <c r="AX64"/>
  <c r="D65"/>
  <c r="E65"/>
  <c r="Q65"/>
  <c r="T64"/>
  <c r="R65"/>
  <c r="U64"/>
  <c r="AT65"/>
  <c r="AV65"/>
  <c r="AW65"/>
  <c r="AX65"/>
  <c r="D66"/>
  <c r="E66"/>
  <c r="Q66"/>
  <c r="Q67"/>
  <c r="T65"/>
  <c r="R66"/>
  <c r="R67"/>
  <c r="U65"/>
  <c r="AT66"/>
  <c r="AV66"/>
  <c r="AW66"/>
  <c r="AX66"/>
  <c r="D67"/>
  <c r="E67"/>
  <c r="AT67"/>
  <c r="AV67"/>
  <c r="AW67"/>
  <c r="AX67"/>
  <c r="D68"/>
  <c r="E68"/>
  <c r="Q68"/>
  <c r="T66"/>
  <c r="R68"/>
  <c r="U66"/>
  <c r="AT68"/>
  <c r="AV68"/>
  <c r="AW68"/>
  <c r="AX68"/>
  <c r="D69"/>
  <c r="E69"/>
  <c r="Q69"/>
  <c r="Q70"/>
  <c r="T67"/>
  <c r="R69"/>
  <c r="R70"/>
  <c r="U67"/>
  <c r="AT69"/>
  <c r="AV69"/>
  <c r="AW69"/>
  <c r="AX69"/>
  <c r="D70"/>
  <c r="E70"/>
  <c r="U70"/>
  <c r="AT70"/>
  <c r="AV70"/>
  <c r="AW70"/>
  <c r="AX70"/>
  <c r="D71"/>
  <c r="E71"/>
  <c r="Q71"/>
  <c r="T68"/>
  <c r="R71"/>
  <c r="U68"/>
  <c r="AT71"/>
  <c r="AV71"/>
  <c r="AW71"/>
  <c r="AX71"/>
  <c r="D72"/>
  <c r="E72"/>
  <c r="Q72"/>
  <c r="Q73"/>
  <c r="T69"/>
  <c r="R72"/>
  <c r="R73"/>
  <c r="U69"/>
  <c r="AT72"/>
  <c r="AV72"/>
  <c r="AW72"/>
  <c r="AX72"/>
  <c r="D73"/>
  <c r="E73"/>
  <c r="AT73"/>
  <c r="AV73"/>
  <c r="AW73"/>
  <c r="AX73"/>
  <c r="D74"/>
  <c r="E74"/>
  <c r="Q74"/>
  <c r="T72"/>
  <c r="R74"/>
  <c r="U72"/>
  <c r="AT74"/>
  <c r="AV74"/>
  <c r="AW74"/>
  <c r="AX74"/>
  <c r="D75"/>
  <c r="E75"/>
  <c r="Q75"/>
  <c r="Q76"/>
  <c r="T73"/>
  <c r="R75"/>
  <c r="R76"/>
  <c r="U73"/>
  <c r="AJ75"/>
  <c r="AK75"/>
  <c r="AL75"/>
  <c r="AM75"/>
  <c r="AN75"/>
  <c r="AO75"/>
  <c r="AT75"/>
  <c r="AX75"/>
  <c r="AR75"/>
  <c r="AS75"/>
  <c r="AW75"/>
  <c r="AV75"/>
  <c r="D76"/>
  <c r="E76"/>
  <c r="D77"/>
  <c r="E77"/>
  <c r="Q77"/>
  <c r="T70"/>
  <c r="R77"/>
  <c r="D78"/>
  <c r="E78"/>
  <c r="Q78"/>
  <c r="Q79"/>
  <c r="T71"/>
  <c r="R78"/>
  <c r="R79"/>
  <c r="U71"/>
  <c r="D79"/>
  <c r="E79"/>
  <c r="H82"/>
  <c r="I82"/>
  <c r="Q82"/>
  <c r="R82"/>
  <c r="S82"/>
  <c r="T82"/>
  <c r="V82"/>
  <c r="W82"/>
  <c r="H83"/>
  <c r="I83"/>
  <c r="Q83"/>
  <c r="R83"/>
  <c r="S83"/>
  <c r="T83"/>
  <c r="V83"/>
  <c r="W83"/>
  <c r="H84"/>
  <c r="I84"/>
  <c r="Q84"/>
  <c r="R84"/>
  <c r="S84"/>
  <c r="T84"/>
  <c r="V84"/>
  <c r="W84"/>
  <c r="H85"/>
  <c r="I85"/>
  <c r="Q85"/>
  <c r="R85"/>
  <c r="S85"/>
  <c r="T85"/>
  <c r="V85"/>
  <c r="W85"/>
  <c r="Q86"/>
  <c r="R86"/>
  <c r="S86"/>
  <c r="T86"/>
  <c r="V86"/>
  <c r="W86"/>
  <c r="H87"/>
  <c r="I87"/>
  <c r="Q87"/>
  <c r="R87"/>
  <c r="S87"/>
  <c r="T87"/>
  <c r="V87"/>
  <c r="W87"/>
  <c r="Q88"/>
  <c r="R88"/>
  <c r="S88"/>
  <c r="T88"/>
  <c r="V88"/>
  <c r="W88"/>
  <c r="H89"/>
  <c r="I89"/>
  <c r="Q89"/>
  <c r="R89"/>
  <c r="S89"/>
  <c r="T89"/>
  <c r="V89"/>
  <c r="W89"/>
  <c r="B90"/>
  <c r="C90"/>
  <c r="D90"/>
  <c r="E90"/>
  <c r="H90"/>
  <c r="I90"/>
  <c r="Q90"/>
  <c r="R90"/>
  <c r="S90"/>
  <c r="T90"/>
  <c r="V90"/>
  <c r="W90"/>
  <c r="B94"/>
  <c r="C94"/>
  <c r="D94"/>
  <c r="B95"/>
  <c r="B101"/>
  <c r="C95"/>
  <c r="D95"/>
  <c r="D101"/>
  <c r="C101"/>
  <c r="BF104"/>
  <c r="F106"/>
  <c r="G106"/>
  <c r="H106"/>
  <c r="J106"/>
  <c r="AR106"/>
  <c r="AV98"/>
  <c r="AS106"/>
  <c r="AT106"/>
  <c r="BA106"/>
  <c r="BE106"/>
  <c r="BB106"/>
  <c r="BC106"/>
  <c r="BF106"/>
  <c r="F107"/>
  <c r="G107"/>
  <c r="H107"/>
  <c r="J107"/>
  <c r="F108"/>
  <c r="J108"/>
  <c r="G108"/>
  <c r="H108"/>
  <c r="F109"/>
  <c r="K106"/>
  <c r="G109"/>
  <c r="H109"/>
  <c r="AV109"/>
  <c r="AW109"/>
  <c r="AX109"/>
  <c r="BE109"/>
  <c r="BG109"/>
  <c r="BH109"/>
  <c r="F110"/>
  <c r="K107"/>
  <c r="G110"/>
  <c r="H110"/>
  <c r="K111"/>
  <c r="J110"/>
  <c r="K110"/>
  <c r="AV110"/>
  <c r="AW110"/>
  <c r="AX110"/>
  <c r="BE110"/>
  <c r="BG110"/>
  <c r="BH110"/>
  <c r="F111"/>
  <c r="K108"/>
  <c r="G111"/>
  <c r="H111"/>
  <c r="J111"/>
  <c r="AV111"/>
  <c r="AW111"/>
  <c r="AX111"/>
  <c r="BE111"/>
  <c r="BG111"/>
  <c r="BH111"/>
  <c r="F112"/>
  <c r="L106"/>
  <c r="G112"/>
  <c r="H112"/>
  <c r="L110"/>
  <c r="J112"/>
  <c r="K112"/>
  <c r="AV112"/>
  <c r="AW112"/>
  <c r="AX112"/>
  <c r="BE112"/>
  <c r="BG112"/>
  <c r="BH112"/>
  <c r="F113"/>
  <c r="L107"/>
  <c r="G113"/>
  <c r="H113"/>
  <c r="L111"/>
  <c r="AV113"/>
  <c r="AW113"/>
  <c r="AX113"/>
  <c r="BE113"/>
  <c r="BG113"/>
  <c r="BH113"/>
  <c r="F114"/>
  <c r="L108"/>
  <c r="G114"/>
  <c r="H114"/>
  <c r="L112"/>
  <c r="AV114"/>
  <c r="AW114"/>
  <c r="AX114"/>
  <c r="BE114"/>
  <c r="BG114"/>
  <c r="BH114"/>
  <c r="F115"/>
  <c r="M106"/>
  <c r="G115"/>
  <c r="H115"/>
  <c r="M110"/>
  <c r="AV115"/>
  <c r="AW115"/>
  <c r="AX115"/>
  <c r="BE115"/>
  <c r="BG115"/>
  <c r="BH115"/>
  <c r="F116"/>
  <c r="M107"/>
  <c r="G116"/>
  <c r="H116"/>
  <c r="M111"/>
  <c r="AV116"/>
  <c r="AW116"/>
  <c r="AX116"/>
  <c r="BE116"/>
  <c r="BG116"/>
  <c r="BH116"/>
  <c r="F117"/>
  <c r="M108"/>
  <c r="G117"/>
  <c r="H117"/>
  <c r="M112"/>
  <c r="AV117"/>
  <c r="AW117"/>
  <c r="AX117"/>
  <c r="BE117"/>
  <c r="BG117"/>
  <c r="BH117"/>
  <c r="F118"/>
  <c r="N106"/>
  <c r="G118"/>
  <c r="H118"/>
  <c r="N110"/>
  <c r="AV118"/>
  <c r="AW118"/>
  <c r="AX118"/>
  <c r="BE118"/>
  <c r="BG118"/>
  <c r="BH118"/>
  <c r="F119"/>
  <c r="N107"/>
  <c r="G119"/>
  <c r="H119"/>
  <c r="N111"/>
  <c r="AV119"/>
  <c r="AW119"/>
  <c r="AX119"/>
  <c r="BE119"/>
  <c r="BG119"/>
  <c r="BH119"/>
  <c r="F120"/>
  <c r="N108"/>
  <c r="G120"/>
  <c r="H120"/>
  <c r="N112"/>
  <c r="AR120"/>
  <c r="AS120"/>
  <c r="AT120"/>
  <c r="AV120"/>
  <c r="AW120"/>
  <c r="AX120"/>
  <c r="BA120"/>
  <c r="BB120"/>
  <c r="BC120"/>
  <c r="BE120"/>
  <c r="BF120"/>
  <c r="BG120"/>
  <c r="BH120"/>
  <c r="F121"/>
  <c r="O106"/>
  <c r="G121"/>
  <c r="H121"/>
  <c r="O110"/>
  <c r="F122"/>
  <c r="O107"/>
  <c r="G122"/>
  <c r="H122"/>
  <c r="O111"/>
  <c r="F123"/>
  <c r="O108"/>
  <c r="G123"/>
  <c r="H123"/>
  <c r="O112"/>
  <c r="F124"/>
  <c r="P106"/>
  <c r="G124"/>
  <c r="H124"/>
  <c r="P110"/>
  <c r="F125"/>
  <c r="P107"/>
  <c r="G125"/>
  <c r="H125"/>
  <c r="P111"/>
  <c r="F126"/>
  <c r="P108"/>
  <c r="G126"/>
  <c r="H126"/>
  <c r="P112"/>
  <c r="F127"/>
  <c r="Q106"/>
  <c r="G127"/>
  <c r="H127"/>
  <c r="Q110"/>
  <c r="F128"/>
  <c r="Q107"/>
  <c r="G128"/>
  <c r="H128"/>
  <c r="Q111"/>
  <c r="F129"/>
  <c r="Q108"/>
  <c r="G129"/>
  <c r="H129"/>
  <c r="Q112"/>
  <c r="B130"/>
  <c r="C130"/>
  <c r="D130"/>
  <c r="F130"/>
  <c r="G130"/>
  <c r="H130"/>
  <c r="J133"/>
  <c r="K133"/>
  <c r="L133"/>
  <c r="M133"/>
  <c r="N133"/>
  <c r="O133"/>
  <c r="P133"/>
  <c r="Q133"/>
  <c r="AA133"/>
  <c r="AB133"/>
  <c r="AC133"/>
  <c r="AD133"/>
  <c r="AE133"/>
  <c r="AF133"/>
  <c r="AG133"/>
  <c r="AH133"/>
  <c r="J134"/>
  <c r="K134"/>
  <c r="L134"/>
  <c r="M134"/>
  <c r="N134"/>
  <c r="O134"/>
  <c r="P134"/>
  <c r="Q134"/>
  <c r="AA134"/>
  <c r="AB134"/>
  <c r="AC134"/>
  <c r="AD134"/>
  <c r="AE134"/>
  <c r="AF134"/>
  <c r="AG134"/>
  <c r="AH134"/>
  <c r="J135"/>
  <c r="K135"/>
  <c r="L135"/>
  <c r="M135"/>
  <c r="N135"/>
  <c r="O135"/>
  <c r="P135"/>
  <c r="Q135"/>
  <c r="AA135"/>
  <c r="AB135"/>
  <c r="AC135"/>
  <c r="AD135"/>
  <c r="AE135"/>
  <c r="AF135"/>
  <c r="AG135"/>
  <c r="AH135"/>
  <c r="J137"/>
  <c r="K137"/>
  <c r="L137"/>
  <c r="M137"/>
  <c r="N137"/>
  <c r="O137"/>
  <c r="P137"/>
  <c r="Q137"/>
  <c r="AA137"/>
  <c r="AB137"/>
  <c r="AC137"/>
  <c r="AD137"/>
  <c r="AE137"/>
  <c r="AF137"/>
  <c r="AG137"/>
  <c r="AH137"/>
  <c r="J138"/>
  <c r="K138"/>
  <c r="L138"/>
  <c r="M138"/>
  <c r="N138"/>
  <c r="O138"/>
  <c r="P138"/>
  <c r="Q138"/>
  <c r="AA138"/>
  <c r="AB138"/>
  <c r="AC138"/>
  <c r="AD138"/>
  <c r="AE138"/>
  <c r="AF138"/>
  <c r="AG138"/>
  <c r="AH138"/>
  <c r="J139"/>
  <c r="K139"/>
  <c r="L139"/>
  <c r="M139"/>
  <c r="N139"/>
  <c r="O139"/>
  <c r="P139"/>
  <c r="Q139"/>
  <c r="AA139"/>
  <c r="AB139"/>
  <c r="AC139"/>
  <c r="AD139"/>
  <c r="AE139"/>
  <c r="AF139"/>
  <c r="AG139"/>
  <c r="AH139"/>
  <c r="J141"/>
  <c r="K141"/>
  <c r="L141"/>
  <c r="M141"/>
  <c r="N141"/>
  <c r="O141"/>
  <c r="P141"/>
  <c r="Q141"/>
  <c r="AA141"/>
  <c r="AB141"/>
  <c r="AC141"/>
  <c r="AD141"/>
  <c r="AE141"/>
  <c r="AF141"/>
  <c r="AG141"/>
  <c r="AH141"/>
  <c r="J142"/>
  <c r="K142"/>
  <c r="L142"/>
  <c r="M142"/>
  <c r="N142"/>
  <c r="O142"/>
  <c r="P142"/>
  <c r="Q142"/>
  <c r="AA142"/>
  <c r="AB142"/>
  <c r="AC142"/>
  <c r="AD142"/>
  <c r="AE142"/>
  <c r="AF142"/>
  <c r="AG142"/>
  <c r="AH142"/>
  <c r="J143"/>
  <c r="K143"/>
  <c r="L143"/>
  <c r="M143"/>
  <c r="N143"/>
  <c r="O143"/>
  <c r="P143"/>
  <c r="Q143"/>
  <c r="AA143"/>
  <c r="AB143"/>
  <c r="AC143"/>
  <c r="AD143"/>
  <c r="AE143"/>
  <c r="AF143"/>
  <c r="AG143"/>
  <c r="AH143"/>
  <c r="F157"/>
  <c r="G157"/>
  <c r="H157"/>
  <c r="W157"/>
  <c r="X157"/>
  <c r="Y157"/>
  <c r="T76"/>
  <c r="U76"/>
  <c r="BH105"/>
  <c r="BH106"/>
  <c r="BE105"/>
  <c r="AW105"/>
  <c r="AW106"/>
  <c r="BH104"/>
  <c r="AX104"/>
  <c r="AV104"/>
  <c r="BG103"/>
  <c r="AX103"/>
  <c r="AV103"/>
  <c r="BG102"/>
  <c r="AX102"/>
  <c r="AV102"/>
  <c r="BG101"/>
  <c r="AX101"/>
  <c r="AV101"/>
  <c r="BH100"/>
  <c r="BE100"/>
  <c r="AW100"/>
  <c r="BH99"/>
  <c r="BE99"/>
  <c r="AW99"/>
  <c r="BH98"/>
  <c r="BE98"/>
  <c r="AW98"/>
  <c r="Q52"/>
  <c r="R53"/>
  <c r="S53"/>
  <c r="R59"/>
  <c r="Q58"/>
  <c r="R57"/>
  <c r="Q56"/>
  <c r="R55"/>
  <c r="Q54"/>
  <c r="AV106"/>
  <c r="BG105"/>
  <c r="BG106"/>
  <c r="AX105"/>
  <c r="AX106"/>
  <c r="AV105"/>
  <c r="BG104"/>
  <c r="BE104"/>
  <c r="AW104"/>
  <c r="BH103"/>
  <c r="BE103"/>
  <c r="AW103"/>
  <c r="BH102"/>
  <c r="BE102"/>
  <c r="AW102"/>
  <c r="BH101"/>
  <c r="BE101"/>
  <c r="AW101"/>
  <c r="BG100"/>
  <c r="AX100"/>
  <c r="AV100"/>
  <c r="BG99"/>
  <c r="AX99"/>
  <c r="AV99"/>
  <c r="BG98"/>
  <c r="AX98"/>
  <c r="C60"/>
  <c r="Q59"/>
  <c r="S59"/>
  <c r="R58"/>
  <c r="Q57"/>
  <c r="S57"/>
  <c r="R56"/>
  <c r="Q55"/>
  <c r="S55"/>
  <c r="R54"/>
  <c r="R52"/>
  <c r="AW40"/>
  <c r="AV41"/>
  <c r="AX41"/>
  <c r="AW42"/>
  <c r="AV43"/>
  <c r="AX43"/>
  <c r="AW44"/>
  <c r="AV45"/>
  <c r="AX45"/>
  <c r="AV40"/>
  <c r="AX40"/>
  <c r="AW41"/>
  <c r="AV42"/>
  <c r="AX42"/>
  <c r="AW43"/>
  <c r="AV44"/>
  <c r="AX44"/>
  <c r="AW45"/>
  <c r="AV46"/>
  <c r="AX46"/>
  <c r="AX47"/>
  <c r="T48"/>
  <c r="AW47"/>
  <c r="AW46"/>
  <c r="R45"/>
  <c r="T45"/>
  <c r="R47"/>
  <c r="T47"/>
  <c r="S46"/>
  <c r="Q46"/>
  <c r="T46"/>
  <c r="S44"/>
  <c r="Q44"/>
  <c r="R43"/>
  <c r="T43"/>
  <c r="S42"/>
  <c r="Q42"/>
  <c r="R42"/>
  <c r="T42"/>
  <c r="R41"/>
  <c r="S40"/>
  <c r="Q40"/>
  <c r="R36"/>
  <c r="S36"/>
  <c r="R35"/>
  <c r="Q34"/>
  <c r="R34"/>
  <c r="S34"/>
  <c r="R33"/>
  <c r="Q32"/>
  <c r="R32"/>
  <c r="S32"/>
  <c r="R31"/>
  <c r="Q30"/>
  <c r="S30"/>
  <c r="R26"/>
  <c r="Q25"/>
  <c r="R25"/>
  <c r="S25"/>
  <c r="R24"/>
  <c r="Q23"/>
  <c r="R23"/>
  <c r="S23"/>
  <c r="R22"/>
  <c r="Q21"/>
  <c r="R21"/>
  <c r="S21"/>
  <c r="R20"/>
  <c r="Q19"/>
  <c r="R19"/>
  <c r="S19"/>
  <c r="R18"/>
  <c r="S18"/>
  <c r="Q20"/>
  <c r="S20"/>
  <c r="Q22"/>
  <c r="S22"/>
  <c r="Q24"/>
  <c r="S24"/>
  <c r="S26"/>
  <c r="S41"/>
  <c r="Q41"/>
  <c r="Q35"/>
  <c r="S35"/>
  <c r="Q33"/>
  <c r="S33"/>
  <c r="Q31"/>
  <c r="S31"/>
  <c r="Q3"/>
  <c r="S3"/>
  <c r="Q4"/>
  <c r="S4"/>
  <c r="Q5"/>
  <c r="S5"/>
  <c r="Q6"/>
  <c r="S6"/>
  <c r="Q7"/>
  <c r="S7"/>
  <c r="Q8"/>
  <c r="S8"/>
  <c r="Q9"/>
  <c r="S9"/>
  <c r="Q10"/>
  <c r="S10"/>
  <c r="Q11"/>
  <c r="S11"/>
  <c r="Q12"/>
  <c r="S12"/>
  <c r="Q13"/>
  <c r="S13"/>
  <c r="R3"/>
  <c r="T3"/>
  <c r="R4"/>
  <c r="T4"/>
  <c r="R5"/>
  <c r="T5"/>
  <c r="R6"/>
  <c r="T6"/>
  <c r="R7"/>
  <c r="T7"/>
  <c r="R8"/>
  <c r="T8"/>
  <c r="R9"/>
  <c r="T9"/>
  <c r="R10"/>
  <c r="T10"/>
  <c r="R11"/>
  <c r="T11"/>
  <c r="R12"/>
  <c r="T12"/>
  <c r="R13"/>
  <c r="T13"/>
  <c r="V13"/>
  <c r="V11"/>
  <c r="V9"/>
  <c r="V6"/>
  <c r="W13"/>
  <c r="W12"/>
  <c r="W11"/>
  <c r="W10"/>
  <c r="W9"/>
  <c r="W8"/>
  <c r="W7"/>
  <c r="W6"/>
  <c r="W5"/>
  <c r="W4"/>
  <c r="W3"/>
  <c r="W14"/>
  <c r="S14"/>
  <c r="T41"/>
  <c r="T40"/>
  <c r="T44"/>
  <c r="AX48"/>
  <c r="AW48"/>
  <c r="R60"/>
  <c r="S60"/>
  <c r="D60"/>
  <c r="E60"/>
  <c r="Q26"/>
  <c r="S54"/>
  <c r="S56"/>
  <c r="S58"/>
  <c r="R14"/>
  <c r="V12"/>
  <c r="V10"/>
  <c r="V8"/>
  <c r="V7"/>
  <c r="V5"/>
  <c r="V4"/>
  <c r="V3"/>
  <c r="Q14"/>
  <c r="AV48"/>
  <c r="S52"/>
  <c r="V14"/>
  <c r="H3" i="3"/>
  <c r="I3"/>
  <c r="H4"/>
  <c r="I4"/>
  <c r="H5"/>
  <c r="I5"/>
  <c r="H6"/>
  <c r="I6"/>
  <c r="H7"/>
  <c r="I7"/>
  <c r="H8"/>
  <c r="I8"/>
  <c r="B9"/>
  <c r="C9"/>
  <c r="D9"/>
  <c r="E9"/>
  <c r="F9"/>
  <c r="G9"/>
  <c r="B10"/>
  <c r="C10"/>
  <c r="D10"/>
  <c r="E10"/>
  <c r="F10"/>
  <c r="G10"/>
  <c r="I10"/>
  <c r="B11"/>
  <c r="I11"/>
  <c r="I12"/>
  <c r="B42" i="2"/>
  <c r="C42"/>
  <c r="C44"/>
  <c r="D42"/>
  <c r="E42"/>
  <c r="E44"/>
  <c r="F42"/>
  <c r="H42"/>
  <c r="H44"/>
  <c r="I42"/>
  <c r="B44"/>
  <c r="D44"/>
  <c r="F44"/>
  <c r="I44"/>
  <c r="B45"/>
  <c r="C45"/>
  <c r="D45"/>
  <c r="C47"/>
  <c r="E45"/>
  <c r="F45"/>
  <c r="H45"/>
  <c r="I45"/>
  <c r="B46"/>
  <c r="T154" i="11"/>
  <c r="T153"/>
  <c r="T152"/>
  <c r="T151"/>
  <c r="T150"/>
  <c r="T149"/>
  <c r="T148"/>
  <c r="T147"/>
  <c r="S154"/>
  <c r="S153"/>
  <c r="S152"/>
  <c r="S151"/>
  <c r="S150"/>
  <c r="S149"/>
  <c r="S148"/>
  <c r="S147"/>
  <c r="T146"/>
  <c r="S146"/>
  <c r="T155"/>
  <c r="S155"/>
  <c r="AB99"/>
  <c r="AB98"/>
  <c r="AB97"/>
  <c r="AB96"/>
  <c r="AB95"/>
  <c r="AB94"/>
  <c r="AB93"/>
  <c r="AB92"/>
  <c r="AA99"/>
  <c r="AA98"/>
  <c r="AA97"/>
  <c r="AA96"/>
  <c r="AA95"/>
  <c r="AA94"/>
  <c r="AA93"/>
  <c r="AA92"/>
  <c r="Z99"/>
  <c r="Z98"/>
  <c r="Z97"/>
  <c r="Z96"/>
  <c r="Z95"/>
  <c r="Z94"/>
  <c r="Z93"/>
  <c r="Z92"/>
  <c r="Y99"/>
  <c r="Y98"/>
  <c r="Y97"/>
  <c r="Y96"/>
  <c r="Y95"/>
  <c r="Y94"/>
  <c r="Y93"/>
  <c r="Y92"/>
  <c r="AB91"/>
  <c r="AA91"/>
  <c r="Z91"/>
  <c r="Y91"/>
  <c r="X99"/>
  <c r="X98"/>
  <c r="X97"/>
  <c r="X96"/>
  <c r="X95"/>
  <c r="X94"/>
  <c r="X93"/>
  <c r="X92"/>
  <c r="X91"/>
  <c r="AB100"/>
  <c r="AA100"/>
  <c r="Z100"/>
  <c r="Y100"/>
  <c r="X100"/>
  <c r="B15"/>
  <c r="C15"/>
  <c r="D15"/>
  <c r="E15"/>
  <c r="F15"/>
  <c r="G15"/>
  <c r="B43"/>
  <c r="C43"/>
  <c r="D43"/>
  <c r="E43"/>
  <c r="F43"/>
  <c r="G43"/>
  <c r="B59"/>
  <c r="C59"/>
  <c r="B87"/>
  <c r="C87"/>
  <c r="D87"/>
  <c r="E87"/>
  <c r="B100"/>
  <c r="C100"/>
  <c r="D100"/>
  <c r="E100"/>
  <c r="F100"/>
  <c r="G100"/>
  <c r="B128"/>
  <c r="C128"/>
  <c r="D128"/>
  <c r="E128"/>
  <c r="F128"/>
  <c r="G128"/>
  <c r="B142"/>
  <c r="C142"/>
  <c r="B155"/>
  <c r="C155"/>
  <c r="B197"/>
  <c r="C197"/>
  <c r="B212"/>
  <c r="C212"/>
  <c r="B15" i="8"/>
  <c r="C15"/>
  <c r="B48"/>
  <c r="C48"/>
  <c r="B64"/>
  <c r="C64"/>
  <c r="D64"/>
  <c r="B94"/>
  <c r="C94"/>
  <c r="D94"/>
  <c r="B110"/>
  <c r="C110"/>
  <c r="D110"/>
  <c r="B141"/>
  <c r="C141"/>
  <c r="D141"/>
  <c r="B15" i="9"/>
  <c r="C15"/>
  <c r="D15"/>
  <c r="E15"/>
  <c r="F15"/>
  <c r="B30"/>
  <c r="C30"/>
  <c r="D30"/>
  <c r="E30"/>
  <c r="F30"/>
  <c r="B46"/>
  <c r="C46"/>
  <c r="D46"/>
  <c r="B74"/>
  <c r="C74"/>
  <c r="D74"/>
  <c r="B90"/>
  <c r="C90"/>
  <c r="B118"/>
  <c r="C118"/>
  <c r="B134"/>
  <c r="C134"/>
  <c r="B162"/>
  <c r="C162"/>
  <c r="B178"/>
  <c r="C178"/>
  <c r="B206"/>
  <c r="C206"/>
  <c r="B222"/>
  <c r="C222"/>
  <c r="D222"/>
  <c r="E222"/>
  <c r="B250"/>
  <c r="C250"/>
  <c r="D250"/>
  <c r="E250"/>
  <c r="B266"/>
  <c r="C266"/>
  <c r="D266"/>
  <c r="E266"/>
  <c r="B294"/>
  <c r="C294"/>
  <c r="D294"/>
  <c r="E294"/>
  <c r="W48" i="12"/>
  <c r="W49"/>
  <c r="V48"/>
  <c r="V49"/>
  <c r="U48"/>
  <c r="U49"/>
  <c r="T48"/>
  <c r="T49"/>
  <c r="W58"/>
  <c r="V58"/>
  <c r="U58"/>
  <c r="W57"/>
  <c r="V57"/>
  <c r="U57"/>
  <c r="W56"/>
  <c r="V56"/>
  <c r="U56"/>
  <c r="W55"/>
  <c r="V55"/>
  <c r="U55"/>
  <c r="W54"/>
  <c r="V54"/>
  <c r="U54"/>
  <c r="W53"/>
  <c r="V53"/>
  <c r="U53"/>
  <c r="W52"/>
  <c r="V52"/>
  <c r="U52"/>
  <c r="W51"/>
  <c r="V51"/>
  <c r="U51"/>
  <c r="W50"/>
  <c r="V50"/>
  <c r="U50"/>
  <c r="W47"/>
  <c r="V47"/>
  <c r="U47"/>
  <c r="T58"/>
  <c r="T57"/>
  <c r="T56"/>
  <c r="T55"/>
  <c r="T54"/>
  <c r="T53"/>
  <c r="T52"/>
  <c r="T51"/>
  <c r="T50"/>
  <c r="T47"/>
  <c r="T59"/>
  <c r="W59"/>
  <c r="V59"/>
  <c r="U59"/>
  <c r="U14"/>
  <c r="T14"/>
  <c r="U13"/>
  <c r="T13"/>
  <c r="U12"/>
  <c r="T12"/>
  <c r="U11"/>
  <c r="T11"/>
  <c r="U10"/>
  <c r="T10"/>
  <c r="U9"/>
  <c r="T9"/>
  <c r="U8"/>
  <c r="T8"/>
  <c r="U7"/>
  <c r="T7"/>
  <c r="U6"/>
  <c r="T6"/>
  <c r="U5"/>
  <c r="T5"/>
  <c r="U4"/>
  <c r="T4"/>
  <c r="U3"/>
  <c r="T3"/>
  <c r="T17"/>
  <c r="S14"/>
  <c r="S13"/>
  <c r="S12"/>
  <c r="S11"/>
  <c r="S10"/>
  <c r="S9"/>
  <c r="S8"/>
  <c r="S7"/>
  <c r="S6"/>
  <c r="S5"/>
  <c r="S4"/>
  <c r="S3"/>
  <c r="U15"/>
  <c r="T15"/>
  <c r="S15"/>
  <c r="B15"/>
  <c r="C15"/>
  <c r="D15"/>
  <c r="E15"/>
  <c r="B43"/>
  <c r="C43"/>
  <c r="D43"/>
  <c r="E43"/>
  <c r="B59"/>
  <c r="C59"/>
  <c r="D59"/>
  <c r="E59"/>
  <c r="F59"/>
  <c r="B87"/>
  <c r="C87"/>
  <c r="D87"/>
  <c r="E87"/>
  <c r="F87"/>
  <c r="B103"/>
  <c r="C103"/>
  <c r="D103"/>
  <c r="E103"/>
  <c r="F103"/>
  <c r="B120"/>
  <c r="B131"/>
  <c r="C131"/>
  <c r="D131"/>
  <c r="E131"/>
  <c r="B147"/>
  <c r="C147"/>
  <c r="D147"/>
  <c r="E147"/>
  <c r="B175"/>
  <c r="C175"/>
  <c r="D175"/>
  <c r="E175"/>
  <c r="B191"/>
  <c r="C191"/>
  <c r="D191"/>
  <c r="E191"/>
  <c r="B219"/>
  <c r="C219"/>
  <c r="D219"/>
  <c r="E219"/>
  <c r="B235"/>
  <c r="C235"/>
  <c r="D235"/>
  <c r="E235"/>
  <c r="B263"/>
  <c r="C263"/>
  <c r="D263"/>
  <c r="E263"/>
  <c r="B279"/>
  <c r="C279"/>
  <c r="D279"/>
  <c r="B307"/>
  <c r="C307"/>
  <c r="D307"/>
  <c r="B323"/>
  <c r="C323"/>
  <c r="D323"/>
  <c r="B351"/>
  <c r="C351"/>
  <c r="D351"/>
  <c r="B367"/>
  <c r="C367"/>
  <c r="D367"/>
  <c r="B395"/>
  <c r="C395"/>
  <c r="D395"/>
  <c r="B15" i="10"/>
  <c r="P3"/>
  <c r="C15"/>
  <c r="Q14"/>
  <c r="D15"/>
  <c r="R14"/>
  <c r="E15"/>
  <c r="S14"/>
  <c r="P35"/>
  <c r="Q35"/>
  <c r="R35"/>
  <c r="S35"/>
  <c r="P36"/>
  <c r="Q36"/>
  <c r="R36"/>
  <c r="S36"/>
  <c r="P37"/>
  <c r="Q37"/>
  <c r="R37"/>
  <c r="S37"/>
  <c r="P38"/>
  <c r="Q38"/>
  <c r="R38"/>
  <c r="S38"/>
  <c r="P39"/>
  <c r="Q39"/>
  <c r="R39"/>
  <c r="S39"/>
  <c r="P40"/>
  <c r="Q40"/>
  <c r="R40"/>
  <c r="S40"/>
  <c r="P41"/>
  <c r="Q41"/>
  <c r="R41"/>
  <c r="S41"/>
  <c r="P42"/>
  <c r="Q42"/>
  <c r="R42"/>
  <c r="S42"/>
  <c r="P43"/>
  <c r="Q43"/>
  <c r="R43"/>
  <c r="S43"/>
  <c r="P44"/>
  <c r="Q44"/>
  <c r="R44"/>
  <c r="S44"/>
  <c r="P45"/>
  <c r="Q45"/>
  <c r="R45"/>
  <c r="S45"/>
  <c r="B46"/>
  <c r="C46"/>
  <c r="D46"/>
  <c r="E46"/>
  <c r="P46"/>
  <c r="Q46"/>
  <c r="R46"/>
  <c r="S46"/>
  <c r="B71"/>
  <c r="B91"/>
  <c r="C91"/>
  <c r="D91"/>
  <c r="E91"/>
  <c r="F91"/>
  <c r="G91"/>
  <c r="B92"/>
  <c r="C92"/>
  <c r="D92"/>
  <c r="E92"/>
  <c r="F92"/>
  <c r="G92"/>
  <c r="B93"/>
  <c r="C93"/>
  <c r="D93"/>
  <c r="E93"/>
  <c r="F93"/>
  <c r="G93"/>
  <c r="H93"/>
  <c r="I93"/>
  <c r="B94"/>
  <c r="C94"/>
  <c r="D94"/>
  <c r="E94"/>
  <c r="F94"/>
  <c r="G94"/>
  <c r="H94"/>
  <c r="I94"/>
  <c r="B95"/>
  <c r="C95"/>
  <c r="D95"/>
  <c r="E95"/>
  <c r="F95"/>
  <c r="G95"/>
  <c r="H95"/>
  <c r="I95"/>
  <c r="H96"/>
  <c r="I96"/>
  <c r="B97"/>
  <c r="C97"/>
  <c r="D97"/>
  <c r="E97"/>
  <c r="F97"/>
  <c r="G97"/>
  <c r="B98"/>
  <c r="C98"/>
  <c r="D98"/>
  <c r="E98"/>
  <c r="F98"/>
  <c r="G98"/>
  <c r="B99"/>
  <c r="C99"/>
  <c r="D99"/>
  <c r="E99"/>
  <c r="F99"/>
  <c r="G99"/>
  <c r="H99"/>
  <c r="I99"/>
  <c r="B101"/>
  <c r="C101"/>
  <c r="D101"/>
  <c r="B102"/>
  <c r="C102"/>
  <c r="D102"/>
  <c r="S13"/>
  <c r="Q13"/>
  <c r="S12"/>
  <c r="Q12"/>
  <c r="S11"/>
  <c r="Q11"/>
  <c r="S10"/>
  <c r="Q10"/>
  <c r="S9"/>
  <c r="Q9"/>
  <c r="S8"/>
  <c r="Q8"/>
  <c r="S7"/>
  <c r="Q7"/>
  <c r="S6"/>
  <c r="Q6"/>
  <c r="S5"/>
  <c r="Q5"/>
  <c r="S4"/>
  <c r="Q4"/>
  <c r="S3"/>
  <c r="S16"/>
  <c r="Q3"/>
  <c r="P14"/>
  <c r="R13"/>
  <c r="P13"/>
  <c r="R12"/>
  <c r="P12"/>
  <c r="R11"/>
  <c r="P11"/>
  <c r="R10"/>
  <c r="P10"/>
  <c r="R9"/>
  <c r="P9"/>
  <c r="R8"/>
  <c r="P8"/>
  <c r="R7"/>
  <c r="P7"/>
  <c r="R6"/>
  <c r="P6"/>
  <c r="R5"/>
  <c r="P5"/>
  <c r="R4"/>
  <c r="P4"/>
  <c r="R3"/>
  <c r="R16"/>
  <c r="B8" i="7"/>
  <c r="C8"/>
  <c r="B32"/>
  <c r="C32"/>
  <c r="B52"/>
  <c r="C52"/>
  <c r="B75"/>
  <c r="C75"/>
  <c r="B89"/>
  <c r="C89"/>
  <c r="D89"/>
  <c r="E89"/>
  <c r="B104"/>
  <c r="C104"/>
  <c r="D104"/>
  <c r="E104"/>
  <c r="B120"/>
  <c r="C120"/>
  <c r="D120"/>
  <c r="E120"/>
  <c r="F120"/>
  <c r="G120"/>
  <c r="H120"/>
  <c r="I120"/>
  <c r="B150"/>
  <c r="C150"/>
  <c r="D150"/>
  <c r="E150"/>
  <c r="F150"/>
  <c r="G150"/>
  <c r="H150"/>
  <c r="I150"/>
  <c r="B155"/>
  <c r="C155"/>
  <c r="D155"/>
  <c r="E155"/>
  <c r="F155"/>
  <c r="G155"/>
  <c r="H155"/>
  <c r="I155"/>
  <c r="B156"/>
  <c r="C156"/>
  <c r="D156"/>
  <c r="E156"/>
  <c r="F156"/>
  <c r="G156"/>
  <c r="H156"/>
  <c r="I156"/>
  <c r="B157"/>
  <c r="C157"/>
  <c r="D157"/>
  <c r="E157"/>
  <c r="F157"/>
  <c r="G157"/>
  <c r="H157"/>
  <c r="I157"/>
  <c r="B158"/>
  <c r="C158"/>
  <c r="D158"/>
  <c r="E158"/>
  <c r="F158"/>
  <c r="G158"/>
  <c r="H158"/>
  <c r="I158"/>
  <c r="B159"/>
  <c r="C159"/>
  <c r="D159"/>
  <c r="E159"/>
  <c r="F159"/>
  <c r="G159"/>
  <c r="H159"/>
  <c r="I159"/>
  <c r="B160"/>
  <c r="C160"/>
  <c r="D160"/>
  <c r="E160"/>
  <c r="F160"/>
  <c r="G160"/>
  <c r="H160"/>
  <c r="I160"/>
  <c r="B161"/>
  <c r="C161"/>
  <c r="D161"/>
  <c r="E161"/>
  <c r="F161"/>
  <c r="G161"/>
  <c r="H161"/>
  <c r="I161"/>
  <c r="B162"/>
  <c r="C162"/>
  <c r="D162"/>
  <c r="E162"/>
  <c r="F162"/>
  <c r="G162"/>
  <c r="H162"/>
  <c r="I162"/>
  <c r="B163"/>
  <c r="C163"/>
  <c r="D163"/>
  <c r="E163"/>
  <c r="F163"/>
  <c r="G163"/>
  <c r="H163"/>
  <c r="I163"/>
  <c r="B164"/>
  <c r="C164"/>
  <c r="D164"/>
  <c r="E164"/>
  <c r="F164"/>
  <c r="G164"/>
  <c r="H164"/>
  <c r="I164"/>
  <c r="B165"/>
  <c r="C165"/>
  <c r="D165"/>
  <c r="E165"/>
  <c r="F165"/>
  <c r="G165"/>
  <c r="H165"/>
  <c r="I165"/>
  <c r="B166"/>
  <c r="C166"/>
  <c r="D166"/>
  <c r="E166"/>
  <c r="F166"/>
  <c r="G166"/>
  <c r="H166"/>
  <c r="I166"/>
  <c r="B169"/>
  <c r="C169"/>
  <c r="D169"/>
  <c r="E169"/>
  <c r="F169"/>
  <c r="G169"/>
  <c r="H169"/>
  <c r="I169"/>
  <c r="B171"/>
  <c r="C171"/>
  <c r="D171"/>
  <c r="E171"/>
  <c r="F171"/>
  <c r="G171"/>
  <c r="H171"/>
  <c r="I171"/>
  <c r="B176"/>
  <c r="C176"/>
  <c r="D176"/>
  <c r="E176"/>
  <c r="B15" i="13"/>
  <c r="C15"/>
  <c r="D15"/>
  <c r="B43"/>
  <c r="C43"/>
  <c r="D43"/>
  <c r="B59"/>
  <c r="C59"/>
  <c r="D59"/>
  <c r="E59"/>
  <c r="B87"/>
  <c r="C87"/>
  <c r="D87"/>
  <c r="E87"/>
  <c r="B120"/>
  <c r="C120"/>
  <c r="D120"/>
  <c r="E120"/>
  <c r="B148"/>
  <c r="C148"/>
  <c r="D148"/>
  <c r="E148"/>
  <c r="F3" i="5"/>
  <c r="G3"/>
  <c r="P3"/>
  <c r="F4"/>
  <c r="G4"/>
  <c r="P4"/>
  <c r="F5"/>
  <c r="G5"/>
  <c r="N5"/>
  <c r="P5"/>
  <c r="P24"/>
  <c r="F6"/>
  <c r="G6"/>
  <c r="M6"/>
  <c r="P6"/>
  <c r="F7"/>
  <c r="G7"/>
  <c r="M7"/>
  <c r="P7"/>
  <c r="F8"/>
  <c r="G8"/>
  <c r="P8"/>
  <c r="F9"/>
  <c r="G9"/>
  <c r="M9"/>
  <c r="P9"/>
  <c r="F10"/>
  <c r="G10"/>
  <c r="M10"/>
  <c r="P10"/>
  <c r="F11"/>
  <c r="G11"/>
  <c r="P11"/>
  <c r="F12"/>
  <c r="G12"/>
  <c r="P12"/>
  <c r="F13"/>
  <c r="G13"/>
  <c r="M13"/>
  <c r="P13"/>
  <c r="F14"/>
  <c r="G14"/>
  <c r="M14"/>
  <c r="P14"/>
  <c r="F15"/>
  <c r="G15"/>
  <c r="M15"/>
  <c r="P15"/>
  <c r="F16"/>
  <c r="G16"/>
  <c r="M16"/>
  <c r="P16"/>
  <c r="F17"/>
  <c r="G17"/>
  <c r="P17"/>
  <c r="F18"/>
  <c r="G18"/>
  <c r="P18"/>
  <c r="F19"/>
  <c r="G19"/>
  <c r="P19"/>
  <c r="F20"/>
  <c r="G20"/>
  <c r="P20"/>
  <c r="F21"/>
  <c r="G21"/>
  <c r="F22"/>
  <c r="G22"/>
  <c r="M22"/>
  <c r="N22"/>
  <c r="O22"/>
  <c r="P22"/>
  <c r="F23"/>
  <c r="G23"/>
  <c r="M23"/>
  <c r="N23"/>
  <c r="O23"/>
  <c r="P23"/>
  <c r="F24"/>
  <c r="G24"/>
  <c r="M24"/>
  <c r="N24"/>
  <c r="O24"/>
  <c r="F25"/>
  <c r="G25"/>
  <c r="M25"/>
  <c r="N25"/>
  <c r="O25"/>
  <c r="P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F44"/>
  <c r="G44"/>
  <c r="F45"/>
  <c r="G45"/>
  <c r="C46"/>
  <c r="D46"/>
  <c r="E46"/>
  <c r="N51"/>
  <c r="O51"/>
  <c r="P51"/>
  <c r="Q51"/>
  <c r="R51"/>
  <c r="N52"/>
  <c r="O52"/>
  <c r="P52"/>
  <c r="Q52"/>
  <c r="R52"/>
  <c r="N53"/>
  <c r="O53"/>
  <c r="P53"/>
  <c r="Q53"/>
  <c r="R53"/>
  <c r="N54"/>
  <c r="O54"/>
  <c r="P54"/>
  <c r="Q54"/>
  <c r="R54"/>
  <c r="N55"/>
  <c r="O55"/>
  <c r="P55"/>
  <c r="Q55"/>
  <c r="R55"/>
  <c r="N56"/>
  <c r="O56"/>
  <c r="P56"/>
  <c r="Q56"/>
  <c r="R56"/>
  <c r="N57"/>
  <c r="O57"/>
  <c r="P57"/>
  <c r="Q57"/>
  <c r="R57"/>
  <c r="C58"/>
  <c r="E58"/>
  <c r="G58"/>
  <c r="H58"/>
  <c r="I58"/>
  <c r="M58"/>
  <c r="N58"/>
  <c r="O58"/>
  <c r="Q58"/>
  <c r="C59"/>
  <c r="E59"/>
  <c r="G59"/>
  <c r="H59"/>
  <c r="I59"/>
  <c r="M59"/>
  <c r="N59"/>
  <c r="O59"/>
  <c r="Q59"/>
  <c r="N60"/>
  <c r="N61"/>
  <c r="O60"/>
  <c r="P60"/>
  <c r="Q60"/>
  <c r="R60"/>
  <c r="R61"/>
  <c r="C61"/>
  <c r="E61"/>
  <c r="G61"/>
  <c r="H61"/>
  <c r="I61"/>
  <c r="M61"/>
  <c r="O61"/>
  <c r="Q61"/>
  <c r="N62"/>
  <c r="O62"/>
  <c r="P62"/>
  <c r="Q62"/>
  <c r="R62"/>
  <c r="N63"/>
  <c r="O63"/>
  <c r="P63"/>
  <c r="Q63"/>
  <c r="R63"/>
  <c r="C64"/>
  <c r="E64"/>
  <c r="G64"/>
  <c r="H64"/>
  <c r="I64"/>
  <c r="M64"/>
  <c r="N64"/>
  <c r="C65"/>
  <c r="E65"/>
  <c r="G65"/>
  <c r="H65"/>
  <c r="I65"/>
  <c r="M65"/>
  <c r="N65"/>
  <c r="O65"/>
  <c r="Q65"/>
  <c r="N66"/>
  <c r="N67"/>
  <c r="C67"/>
  <c r="E67"/>
  <c r="G67"/>
  <c r="H67"/>
  <c r="I67"/>
  <c r="M67"/>
  <c r="N68"/>
  <c r="O68"/>
  <c r="P68"/>
  <c r="Q68"/>
  <c r="R68"/>
  <c r="N69"/>
  <c r="O69"/>
  <c r="P69"/>
  <c r="Q69"/>
  <c r="R69"/>
  <c r="N70"/>
  <c r="O70"/>
  <c r="P70"/>
  <c r="Q70"/>
  <c r="R70"/>
  <c r="N71"/>
  <c r="O71"/>
  <c r="P71"/>
  <c r="Q71"/>
  <c r="R71"/>
  <c r="N72"/>
  <c r="O72"/>
  <c r="P72"/>
  <c r="Q72"/>
  <c r="R72"/>
  <c r="M112"/>
  <c r="N112"/>
  <c r="T72"/>
  <c r="N73"/>
  <c r="O73"/>
  <c r="P73"/>
  <c r="Q73"/>
  <c r="R73"/>
  <c r="N74"/>
  <c r="O74"/>
  <c r="P74"/>
  <c r="Q74"/>
  <c r="R74"/>
  <c r="T74"/>
  <c r="N75"/>
  <c r="N76"/>
  <c r="O76"/>
  <c r="P76"/>
  <c r="S76"/>
  <c r="Q76"/>
  <c r="R76"/>
  <c r="N77"/>
  <c r="O77"/>
  <c r="P77"/>
  <c r="S77"/>
  <c r="Q77"/>
  <c r="R77"/>
  <c r="T77"/>
  <c r="C78"/>
  <c r="C112"/>
  <c r="D78"/>
  <c r="E78"/>
  <c r="E112"/>
  <c r="F78"/>
  <c r="G78"/>
  <c r="H78"/>
  <c r="I78"/>
  <c r="M78"/>
  <c r="N78"/>
  <c r="C79"/>
  <c r="E79"/>
  <c r="G79"/>
  <c r="H79"/>
  <c r="I79"/>
  <c r="M79"/>
  <c r="N79"/>
  <c r="N80"/>
  <c r="N81"/>
  <c r="O80"/>
  <c r="P80"/>
  <c r="S80"/>
  <c r="Q80"/>
  <c r="R80"/>
  <c r="R81"/>
  <c r="C81"/>
  <c r="E81"/>
  <c r="G81"/>
  <c r="H81"/>
  <c r="I81"/>
  <c r="M81"/>
  <c r="O81"/>
  <c r="Q81"/>
  <c r="N82"/>
  <c r="N83"/>
  <c r="O82"/>
  <c r="P82"/>
  <c r="S82"/>
  <c r="Q82"/>
  <c r="R82"/>
  <c r="R83"/>
  <c r="C83"/>
  <c r="M83"/>
  <c r="O83"/>
  <c r="Q83"/>
  <c r="N84"/>
  <c r="O84"/>
  <c r="P84"/>
  <c r="S84"/>
  <c r="Q84"/>
  <c r="R84"/>
  <c r="N85"/>
  <c r="O85"/>
  <c r="P85"/>
  <c r="Q85"/>
  <c r="R85"/>
  <c r="N86"/>
  <c r="O86"/>
  <c r="P86"/>
  <c r="S86"/>
  <c r="Q86"/>
  <c r="R86"/>
  <c r="N87"/>
  <c r="O87"/>
  <c r="P87"/>
  <c r="S87"/>
  <c r="Q87"/>
  <c r="R87"/>
  <c r="T87"/>
  <c r="N88"/>
  <c r="O88"/>
  <c r="P88"/>
  <c r="S88"/>
  <c r="Q88"/>
  <c r="R88"/>
  <c r="N89"/>
  <c r="O89"/>
  <c r="P89"/>
  <c r="S89"/>
  <c r="Q89"/>
  <c r="R89"/>
  <c r="T89"/>
  <c r="N90"/>
  <c r="O90"/>
  <c r="P90"/>
  <c r="S90"/>
  <c r="Q90"/>
  <c r="R90"/>
  <c r="N91"/>
  <c r="O91"/>
  <c r="P91"/>
  <c r="S91"/>
  <c r="Q91"/>
  <c r="R91"/>
  <c r="T91"/>
  <c r="N92"/>
  <c r="O92"/>
  <c r="P92"/>
  <c r="S92"/>
  <c r="Q92"/>
  <c r="R92"/>
  <c r="N93"/>
  <c r="O93"/>
  <c r="P93"/>
  <c r="S93"/>
  <c r="Q93"/>
  <c r="R93"/>
  <c r="T93"/>
  <c r="N94"/>
  <c r="N95"/>
  <c r="O94"/>
  <c r="P94"/>
  <c r="S94"/>
  <c r="Q94"/>
  <c r="R94"/>
  <c r="C95"/>
  <c r="E95"/>
  <c r="G95"/>
  <c r="H95"/>
  <c r="I95"/>
  <c r="M95"/>
  <c r="O95"/>
  <c r="Q95"/>
  <c r="C96"/>
  <c r="D96"/>
  <c r="E96"/>
  <c r="F96"/>
  <c r="G96"/>
  <c r="H96"/>
  <c r="I96"/>
  <c r="M96"/>
  <c r="N96"/>
  <c r="O96"/>
  <c r="Q96"/>
  <c r="N97"/>
  <c r="O97"/>
  <c r="P97"/>
  <c r="Q97"/>
  <c r="R97"/>
  <c r="N98"/>
  <c r="O98"/>
  <c r="P98"/>
  <c r="S98"/>
  <c r="Q98"/>
  <c r="R98"/>
  <c r="N99"/>
  <c r="O99"/>
  <c r="P99"/>
  <c r="S99"/>
  <c r="Q99"/>
  <c r="R99"/>
  <c r="T99"/>
  <c r="C100"/>
  <c r="D100"/>
  <c r="E100"/>
  <c r="F100"/>
  <c r="G100"/>
  <c r="H100"/>
  <c r="I100"/>
  <c r="M100"/>
  <c r="N100"/>
  <c r="C101"/>
  <c r="E101"/>
  <c r="G101"/>
  <c r="H101"/>
  <c r="I101"/>
  <c r="M101"/>
  <c r="N101"/>
  <c r="O101"/>
  <c r="Q101"/>
  <c r="N102"/>
  <c r="N103"/>
  <c r="N104"/>
  <c r="N105"/>
  <c r="O102"/>
  <c r="P102"/>
  <c r="S102"/>
  <c r="Q102"/>
  <c r="R102"/>
  <c r="O103"/>
  <c r="P103"/>
  <c r="Q103"/>
  <c r="R103"/>
  <c r="O104"/>
  <c r="P104"/>
  <c r="S104"/>
  <c r="Q104"/>
  <c r="R104"/>
  <c r="C105"/>
  <c r="E105"/>
  <c r="G105"/>
  <c r="H105"/>
  <c r="I105"/>
  <c r="M105"/>
  <c r="O105"/>
  <c r="Q105"/>
  <c r="N106"/>
  <c r="N107"/>
  <c r="O106"/>
  <c r="P106"/>
  <c r="S106"/>
  <c r="Q106"/>
  <c r="R106"/>
  <c r="R107"/>
  <c r="C107"/>
  <c r="E107"/>
  <c r="G107"/>
  <c r="H107"/>
  <c r="I107"/>
  <c r="M107"/>
  <c r="O107"/>
  <c r="Q107"/>
  <c r="N108"/>
  <c r="N109"/>
  <c r="O108"/>
  <c r="P108"/>
  <c r="S108"/>
  <c r="Q108"/>
  <c r="R108"/>
  <c r="R109"/>
  <c r="C109"/>
  <c r="E109"/>
  <c r="G109"/>
  <c r="H109"/>
  <c r="I109"/>
  <c r="M109"/>
  <c r="O109"/>
  <c r="Q109"/>
  <c r="N110"/>
  <c r="N111"/>
  <c r="O110"/>
  <c r="P110"/>
  <c r="S110"/>
  <c r="Q110"/>
  <c r="R110"/>
  <c r="R111"/>
  <c r="C111"/>
  <c r="E111"/>
  <c r="G111"/>
  <c r="H111"/>
  <c r="I111"/>
  <c r="M111"/>
  <c r="O111"/>
  <c r="Q111"/>
  <c r="D72"/>
  <c r="F76"/>
  <c r="G112"/>
  <c r="H112"/>
  <c r="I112"/>
  <c r="M115"/>
  <c r="N115"/>
  <c r="E120"/>
  <c r="F120"/>
  <c r="G120"/>
  <c r="I120"/>
  <c r="E121"/>
  <c r="F121"/>
  <c r="G121"/>
  <c r="I121"/>
  <c r="E122"/>
  <c r="F122"/>
  <c r="G122"/>
  <c r="I122"/>
  <c r="E123"/>
  <c r="F123"/>
  <c r="G123"/>
  <c r="I123"/>
  <c r="E124"/>
  <c r="F124"/>
  <c r="G124"/>
  <c r="I124"/>
  <c r="E125"/>
  <c r="F125"/>
  <c r="G125"/>
  <c r="I125"/>
  <c r="E126"/>
  <c r="F126"/>
  <c r="G126"/>
  <c r="I126"/>
  <c r="C127"/>
  <c r="D127"/>
  <c r="E127"/>
  <c r="F127"/>
  <c r="G127"/>
  <c r="I127"/>
  <c r="C128"/>
  <c r="D128"/>
  <c r="E128"/>
  <c r="F128"/>
  <c r="G128"/>
  <c r="I128"/>
  <c r="E129"/>
  <c r="F129"/>
  <c r="G129"/>
  <c r="I129"/>
  <c r="C130"/>
  <c r="D130"/>
  <c r="E130"/>
  <c r="G130"/>
  <c r="I130"/>
  <c r="E131"/>
  <c r="F131"/>
  <c r="G131"/>
  <c r="I131"/>
  <c r="E132"/>
  <c r="F132"/>
  <c r="G132"/>
  <c r="I132"/>
  <c r="C133"/>
  <c r="D133"/>
  <c r="E133"/>
  <c r="F133"/>
  <c r="G133"/>
  <c r="I133"/>
  <c r="C134"/>
  <c r="D134"/>
  <c r="E134"/>
  <c r="F134"/>
  <c r="G134"/>
  <c r="I134"/>
  <c r="E135"/>
  <c r="F135"/>
  <c r="C136"/>
  <c r="D136"/>
  <c r="E136"/>
  <c r="E137"/>
  <c r="F137"/>
  <c r="G137"/>
  <c r="I137"/>
  <c r="E138"/>
  <c r="F138"/>
  <c r="G138"/>
  <c r="I138"/>
  <c r="E139"/>
  <c r="F139"/>
  <c r="G139"/>
  <c r="I139"/>
  <c r="E140"/>
  <c r="F140"/>
  <c r="G140"/>
  <c r="I140"/>
  <c r="E141"/>
  <c r="F141"/>
  <c r="G141"/>
  <c r="I141"/>
  <c r="E142"/>
  <c r="F142"/>
  <c r="G142"/>
  <c r="I142"/>
  <c r="E143"/>
  <c r="F143"/>
  <c r="G143"/>
  <c r="I143"/>
  <c r="E144"/>
  <c r="F144"/>
  <c r="E145"/>
  <c r="F145"/>
  <c r="G145"/>
  <c r="I145"/>
  <c r="E146"/>
  <c r="F146"/>
  <c r="G146"/>
  <c r="I146"/>
  <c r="C147"/>
  <c r="D147"/>
  <c r="E147"/>
  <c r="F147"/>
  <c r="C148"/>
  <c r="D148"/>
  <c r="E148"/>
  <c r="F148"/>
  <c r="E149"/>
  <c r="F149"/>
  <c r="G149"/>
  <c r="I149"/>
  <c r="C150"/>
  <c r="D150"/>
  <c r="E150"/>
  <c r="G150"/>
  <c r="I150"/>
  <c r="E151"/>
  <c r="F151"/>
  <c r="G151"/>
  <c r="G152"/>
  <c r="I151"/>
  <c r="I152"/>
  <c r="C152"/>
  <c r="E152"/>
  <c r="F152"/>
  <c r="E153"/>
  <c r="F153"/>
  <c r="G153"/>
  <c r="H153"/>
  <c r="I153"/>
  <c r="J153"/>
  <c r="E154"/>
  <c r="F154"/>
  <c r="G154"/>
  <c r="H154"/>
  <c r="I154"/>
  <c r="J154"/>
  <c r="E155"/>
  <c r="F155"/>
  <c r="G155"/>
  <c r="H155"/>
  <c r="I155"/>
  <c r="J155"/>
  <c r="E156"/>
  <c r="F156"/>
  <c r="G156"/>
  <c r="H156"/>
  <c r="I156"/>
  <c r="J156"/>
  <c r="E157"/>
  <c r="F157"/>
  <c r="G157"/>
  <c r="H157"/>
  <c r="I157"/>
  <c r="J157"/>
  <c r="E158"/>
  <c r="F158"/>
  <c r="G158"/>
  <c r="H158"/>
  <c r="I158"/>
  <c r="J158"/>
  <c r="E159"/>
  <c r="F159"/>
  <c r="G159"/>
  <c r="H159"/>
  <c r="I159"/>
  <c r="J159"/>
  <c r="E160"/>
  <c r="F160"/>
  <c r="G160"/>
  <c r="H160"/>
  <c r="I160"/>
  <c r="J160"/>
  <c r="E161"/>
  <c r="F161"/>
  <c r="G161"/>
  <c r="H161"/>
  <c r="I161"/>
  <c r="J161"/>
  <c r="E162"/>
  <c r="F162"/>
  <c r="G162"/>
  <c r="H162"/>
  <c r="I162"/>
  <c r="J162"/>
  <c r="E163"/>
  <c r="F163"/>
  <c r="G163"/>
  <c r="H163"/>
  <c r="I163"/>
  <c r="J163"/>
  <c r="C164"/>
  <c r="D164"/>
  <c r="E164"/>
  <c r="F164"/>
  <c r="G164"/>
  <c r="H164"/>
  <c r="I164"/>
  <c r="J164"/>
  <c r="C165"/>
  <c r="D165"/>
  <c r="E165"/>
  <c r="F165"/>
  <c r="G165"/>
  <c r="H165"/>
  <c r="I165"/>
  <c r="J165"/>
  <c r="E166"/>
  <c r="F166"/>
  <c r="G166"/>
  <c r="H166"/>
  <c r="I166"/>
  <c r="J166"/>
  <c r="E167"/>
  <c r="F167"/>
  <c r="G167"/>
  <c r="H167"/>
  <c r="I167"/>
  <c r="J167"/>
  <c r="E168"/>
  <c r="F168"/>
  <c r="G168"/>
  <c r="H168"/>
  <c r="I168"/>
  <c r="J168"/>
  <c r="C169"/>
  <c r="D169"/>
  <c r="E169"/>
  <c r="F169"/>
  <c r="G169"/>
  <c r="H169"/>
  <c r="I169"/>
  <c r="J169"/>
  <c r="C170"/>
  <c r="D170"/>
  <c r="E170"/>
  <c r="F170"/>
  <c r="G170"/>
  <c r="H170"/>
  <c r="I170"/>
  <c r="J170"/>
  <c r="E171"/>
  <c r="F171"/>
  <c r="G171"/>
  <c r="H171"/>
  <c r="I171"/>
  <c r="J171"/>
  <c r="E172"/>
  <c r="F172"/>
  <c r="G172"/>
  <c r="H172"/>
  <c r="I172"/>
  <c r="J172"/>
  <c r="E173"/>
  <c r="F173"/>
  <c r="G173"/>
  <c r="H173"/>
  <c r="I173"/>
  <c r="J173"/>
  <c r="C174"/>
  <c r="D174"/>
  <c r="E174"/>
  <c r="F174"/>
  <c r="G174"/>
  <c r="H174"/>
  <c r="I174"/>
  <c r="J174"/>
  <c r="E175"/>
  <c r="F175"/>
  <c r="G175"/>
  <c r="H175"/>
  <c r="I175"/>
  <c r="J175"/>
  <c r="C176"/>
  <c r="D176"/>
  <c r="E176"/>
  <c r="F176"/>
  <c r="G176"/>
  <c r="H176"/>
  <c r="I176"/>
  <c r="J176"/>
  <c r="E177"/>
  <c r="F177"/>
  <c r="G177"/>
  <c r="H177"/>
  <c r="I177"/>
  <c r="J177"/>
  <c r="C178"/>
  <c r="D178"/>
  <c r="E178"/>
  <c r="F178"/>
  <c r="G178"/>
  <c r="H178"/>
  <c r="I178"/>
  <c r="J178"/>
  <c r="E179"/>
  <c r="F179"/>
  <c r="G179"/>
  <c r="H179"/>
  <c r="I179"/>
  <c r="J179"/>
  <c r="C180"/>
  <c r="D180"/>
  <c r="E180"/>
  <c r="F180"/>
  <c r="G180"/>
  <c r="H180"/>
  <c r="I180"/>
  <c r="J180"/>
  <c r="C181"/>
  <c r="D181"/>
  <c r="E181"/>
  <c r="C186"/>
  <c r="D186"/>
  <c r="Q66"/>
  <c r="Q75"/>
  <c r="I135"/>
  <c r="I136"/>
  <c r="I144"/>
  <c r="Q113"/>
  <c r="R113"/>
  <c r="I182"/>
  <c r="O66"/>
  <c r="O75"/>
  <c r="G135"/>
  <c r="G136"/>
  <c r="G144"/>
  <c r="O113"/>
  <c r="G182"/>
  <c r="G186"/>
  <c r="H151"/>
  <c r="J151"/>
  <c r="H149"/>
  <c r="J149"/>
  <c r="F150"/>
  <c r="H145"/>
  <c r="J145"/>
  <c r="H143"/>
  <c r="J143"/>
  <c r="H141"/>
  <c r="J141"/>
  <c r="H139"/>
  <c r="J139"/>
  <c r="H137"/>
  <c r="J137"/>
  <c r="H135"/>
  <c r="J135"/>
  <c r="F136"/>
  <c r="H131"/>
  <c r="J131"/>
  <c r="H129"/>
  <c r="J129"/>
  <c r="F130"/>
  <c r="H125"/>
  <c r="J125"/>
  <c r="H123"/>
  <c r="J123"/>
  <c r="H121"/>
  <c r="J121"/>
  <c r="S103"/>
  <c r="R105"/>
  <c r="S97"/>
  <c r="P100"/>
  <c r="P101"/>
  <c r="R96"/>
  <c r="T85"/>
  <c r="R95"/>
  <c r="F181"/>
  <c r="E186"/>
  <c r="K179"/>
  <c r="K177"/>
  <c r="K175"/>
  <c r="K173"/>
  <c r="K172"/>
  <c r="K171"/>
  <c r="K168"/>
  <c r="K167"/>
  <c r="K166"/>
  <c r="K163"/>
  <c r="K162"/>
  <c r="K161"/>
  <c r="K160"/>
  <c r="K159"/>
  <c r="K158"/>
  <c r="K157"/>
  <c r="K156"/>
  <c r="K155"/>
  <c r="K154"/>
  <c r="K153"/>
  <c r="H146"/>
  <c r="K146"/>
  <c r="J146"/>
  <c r="L146"/>
  <c r="H144"/>
  <c r="K144"/>
  <c r="J144"/>
  <c r="L144"/>
  <c r="H142"/>
  <c r="K142"/>
  <c r="J142"/>
  <c r="L142"/>
  <c r="H140"/>
  <c r="K140"/>
  <c r="J140"/>
  <c r="L140"/>
  <c r="H138"/>
  <c r="K138"/>
  <c r="J138"/>
  <c r="L138"/>
  <c r="H132"/>
  <c r="K132"/>
  <c r="J132"/>
  <c r="L132"/>
  <c r="H126"/>
  <c r="K126"/>
  <c r="J126"/>
  <c r="L126"/>
  <c r="H124"/>
  <c r="K124"/>
  <c r="J124"/>
  <c r="L124"/>
  <c r="H122"/>
  <c r="K122"/>
  <c r="J122"/>
  <c r="L122"/>
  <c r="H120"/>
  <c r="J120"/>
  <c r="T103"/>
  <c r="R100"/>
  <c r="T97"/>
  <c r="R101"/>
  <c r="S85"/>
  <c r="P96"/>
  <c r="P95"/>
  <c r="F117"/>
  <c r="F112"/>
  <c r="D112"/>
  <c r="P111"/>
  <c r="F110"/>
  <c r="P109"/>
  <c r="F108"/>
  <c r="P107"/>
  <c r="F106"/>
  <c r="P105"/>
  <c r="F104"/>
  <c r="D103"/>
  <c r="F102"/>
  <c r="Q100"/>
  <c r="O100"/>
  <c r="D99"/>
  <c r="F98"/>
  <c r="D97"/>
  <c r="F94"/>
  <c r="D93"/>
  <c r="F92"/>
  <c r="D91"/>
  <c r="F90"/>
  <c r="D89"/>
  <c r="F88"/>
  <c r="D87"/>
  <c r="F86"/>
  <c r="D85"/>
  <c r="F84"/>
  <c r="P83"/>
  <c r="F83"/>
  <c r="F82"/>
  <c r="P81"/>
  <c r="F80"/>
  <c r="D77"/>
  <c r="D74"/>
  <c r="T73"/>
  <c r="T71"/>
  <c r="T69"/>
  <c r="D64"/>
  <c r="S63"/>
  <c r="P64"/>
  <c r="P65"/>
  <c r="S62"/>
  <c r="F58"/>
  <c r="T57"/>
  <c r="T55"/>
  <c r="T53"/>
  <c r="R58"/>
  <c r="T51"/>
  <c r="R59"/>
  <c r="T52"/>
  <c r="T54"/>
  <c r="T56"/>
  <c r="T60"/>
  <c r="T62"/>
  <c r="T68"/>
  <c r="T70"/>
  <c r="F51"/>
  <c r="F53"/>
  <c r="F55"/>
  <c r="F57"/>
  <c r="F59"/>
  <c r="F61"/>
  <c r="F63"/>
  <c r="F65"/>
  <c r="F67"/>
  <c r="F69"/>
  <c r="F71"/>
  <c r="F52"/>
  <c r="F54"/>
  <c r="F56"/>
  <c r="F60"/>
  <c r="F62"/>
  <c r="F66"/>
  <c r="F68"/>
  <c r="F70"/>
  <c r="F72"/>
  <c r="F74"/>
  <c r="D52"/>
  <c r="D54"/>
  <c r="D56"/>
  <c r="D59"/>
  <c r="D60"/>
  <c r="D61"/>
  <c r="D62"/>
  <c r="D65"/>
  <c r="D66"/>
  <c r="D67"/>
  <c r="D68"/>
  <c r="D70"/>
  <c r="D51"/>
  <c r="D53"/>
  <c r="D55"/>
  <c r="D57"/>
  <c r="D63"/>
  <c r="D69"/>
  <c r="D71"/>
  <c r="D73"/>
  <c r="D75"/>
  <c r="F111"/>
  <c r="D111"/>
  <c r="T110"/>
  <c r="D110"/>
  <c r="F109"/>
  <c r="D109"/>
  <c r="T108"/>
  <c r="D108"/>
  <c r="F107"/>
  <c r="D107"/>
  <c r="T106"/>
  <c r="D106"/>
  <c r="F105"/>
  <c r="D105"/>
  <c r="T104"/>
  <c r="D104"/>
  <c r="F103"/>
  <c r="T102"/>
  <c r="D102"/>
  <c r="F101"/>
  <c r="D101"/>
  <c r="F99"/>
  <c r="T98"/>
  <c r="D98"/>
  <c r="F97"/>
  <c r="F95"/>
  <c r="D95"/>
  <c r="T94"/>
  <c r="D94"/>
  <c r="F93"/>
  <c r="T92"/>
  <c r="D92"/>
  <c r="F91"/>
  <c r="T90"/>
  <c r="D90"/>
  <c r="F89"/>
  <c r="T88"/>
  <c r="D88"/>
  <c r="F87"/>
  <c r="T86"/>
  <c r="D86"/>
  <c r="F85"/>
  <c r="T84"/>
  <c r="D84"/>
  <c r="D83"/>
  <c r="T82"/>
  <c r="D82"/>
  <c r="F81"/>
  <c r="D81"/>
  <c r="T80"/>
  <c r="D80"/>
  <c r="F79"/>
  <c r="D79"/>
  <c r="F77"/>
  <c r="T76"/>
  <c r="D76"/>
  <c r="F75"/>
  <c r="S74"/>
  <c r="S73"/>
  <c r="F73"/>
  <c r="S72"/>
  <c r="S71"/>
  <c r="S70"/>
  <c r="S69"/>
  <c r="S68"/>
  <c r="F64"/>
  <c r="R64"/>
  <c r="T63"/>
  <c r="R65"/>
  <c r="S60"/>
  <c r="D58"/>
  <c r="S57"/>
  <c r="S56"/>
  <c r="S55"/>
  <c r="S54"/>
  <c r="S53"/>
  <c r="S52"/>
  <c r="S51"/>
  <c r="P58"/>
  <c r="P59"/>
  <c r="Q64"/>
  <c r="O64"/>
  <c r="P61"/>
  <c r="K120"/>
  <c r="H127"/>
  <c r="H128"/>
  <c r="L153"/>
  <c r="L154"/>
  <c r="L155"/>
  <c r="L156"/>
  <c r="L157"/>
  <c r="L158"/>
  <c r="L159"/>
  <c r="L160"/>
  <c r="L161"/>
  <c r="L162"/>
  <c r="L163"/>
  <c r="L166"/>
  <c r="L167"/>
  <c r="L168"/>
  <c r="L171"/>
  <c r="L172"/>
  <c r="L173"/>
  <c r="L175"/>
  <c r="L177"/>
  <c r="L179"/>
  <c r="H182"/>
  <c r="F186"/>
  <c r="J182"/>
  <c r="K121"/>
  <c r="K123"/>
  <c r="K125"/>
  <c r="J181"/>
  <c r="L129"/>
  <c r="J130"/>
  <c r="L131"/>
  <c r="J133"/>
  <c r="J134"/>
  <c r="K135"/>
  <c r="H136"/>
  <c r="K137"/>
  <c r="H147"/>
  <c r="H148"/>
  <c r="K139"/>
  <c r="K141"/>
  <c r="K143"/>
  <c r="K145"/>
  <c r="L149"/>
  <c r="J150"/>
  <c r="J152"/>
  <c r="L151"/>
  <c r="P113"/>
  <c r="P115"/>
  <c r="O115"/>
  <c r="P66"/>
  <c r="O67"/>
  <c r="R66"/>
  <c r="Q67"/>
  <c r="L120"/>
  <c r="J127"/>
  <c r="J128"/>
  <c r="L121"/>
  <c r="L123"/>
  <c r="L125"/>
  <c r="K129"/>
  <c r="H130"/>
  <c r="H181"/>
  <c r="K131"/>
  <c r="H133"/>
  <c r="H134"/>
  <c r="L135"/>
  <c r="J136"/>
  <c r="L137"/>
  <c r="J147"/>
  <c r="J148"/>
  <c r="L139"/>
  <c r="L141"/>
  <c r="L143"/>
  <c r="L145"/>
  <c r="K149"/>
  <c r="H150"/>
  <c r="K151"/>
  <c r="H152"/>
  <c r="H186"/>
  <c r="G147"/>
  <c r="G148"/>
  <c r="O79"/>
  <c r="P75"/>
  <c r="O78"/>
  <c r="I147"/>
  <c r="I148"/>
  <c r="Q79"/>
  <c r="R75"/>
  <c r="Q78"/>
  <c r="K181"/>
  <c r="G187"/>
  <c r="H187"/>
  <c r="T66"/>
  <c r="R67"/>
  <c r="S66"/>
  <c r="P67"/>
  <c r="L181"/>
  <c r="I187"/>
  <c r="J187"/>
  <c r="R78"/>
  <c r="T75"/>
  <c r="T112"/>
  <c r="Q116"/>
  <c r="R116"/>
  <c r="R79"/>
  <c r="R112"/>
  <c r="S75"/>
  <c r="S112"/>
  <c r="O116"/>
  <c r="P116"/>
  <c r="P78"/>
  <c r="P79"/>
  <c r="P112"/>
</calcChain>
</file>

<file path=xl/sharedStrings.xml><?xml version="1.0" encoding="utf-8"?>
<sst xmlns="http://schemas.openxmlformats.org/spreadsheetml/2006/main" count="4632" uniqueCount="1265">
  <si>
    <t>35 HHISOs from Drigg, Ave. Metal Working</t>
  </si>
  <si>
    <t>35  HHISOs from Drigg, 10% Mass proxy</t>
  </si>
  <si>
    <t>100% Volume</t>
  </si>
  <si>
    <t>80% Volume</t>
  </si>
  <si>
    <t>10% Internal Grouting</t>
  </si>
  <si>
    <t>20% Internal Grouting</t>
  </si>
  <si>
    <t xml:space="preserve"> Pig Iron Avoided</t>
  </si>
  <si>
    <t xml:space="preserve">  Container Grouting</t>
  </si>
  <si>
    <t>Boiler Steel</t>
  </si>
  <si>
    <t>Boiler Steek</t>
  </si>
  <si>
    <t>Steel (35 HHISO)</t>
  </si>
  <si>
    <t>Sea Transport</t>
  </si>
  <si>
    <t xml:space="preserve">Sea Transport </t>
  </si>
  <si>
    <t xml:space="preserve">Comparison of Boiler Internal Grouting Weighted Impact Category Results </t>
  </si>
  <si>
    <t>Comparison of Boiler Backfill Impact</t>
  </si>
  <si>
    <t>Standard</t>
  </si>
  <si>
    <t>Double</t>
  </si>
  <si>
    <t xml:space="preserve">Comparison of Boiler Backfill Normalised Impact Category Results </t>
  </si>
  <si>
    <t>Standard Backfill</t>
  </si>
  <si>
    <t>Distance (miles) Scotland</t>
  </si>
  <si>
    <t>Type</t>
  </si>
  <si>
    <t>GE Healthcare</t>
  </si>
  <si>
    <t>MoD</t>
  </si>
  <si>
    <t>UKAEA Research</t>
  </si>
  <si>
    <t>NDA Magnox</t>
  </si>
  <si>
    <t>NDA Enrichment</t>
  </si>
  <si>
    <t>EDF AGR</t>
  </si>
  <si>
    <t>NDA</t>
  </si>
  <si>
    <t>Cardiff</t>
  </si>
  <si>
    <t>NDA LLWR</t>
  </si>
  <si>
    <t>NDA Sellafield</t>
  </si>
  <si>
    <t>Baseline Normalised Impacts</t>
  </si>
  <si>
    <t>Baseline</t>
  </si>
  <si>
    <t>Weighted</t>
  </si>
  <si>
    <t>Impacts</t>
  </si>
  <si>
    <t xml:space="preserve">HHISO/Liner </t>
  </si>
  <si>
    <t>Normalised Impact</t>
  </si>
  <si>
    <t>Overpacked LTIS as ILW Disposal</t>
  </si>
  <si>
    <t>Misc (UO3) DV70</t>
  </si>
  <si>
    <t>Grouted 4m Box</t>
  </si>
  <si>
    <t xml:space="preserve">Overpacked LTIS as ILW Disposal </t>
  </si>
  <si>
    <t>200l drum/ 4m Box</t>
  </si>
  <si>
    <t>NDA Springfields</t>
  </si>
  <si>
    <t>Urenco</t>
  </si>
  <si>
    <t>Full HHISO Transport</t>
  </si>
  <si>
    <t>Full SS 4mbox Transport</t>
  </si>
  <si>
    <t>Based on Table A1.1 p72 of 2010 UKRWI, Table A1.1 p27 2013 UKRWI</t>
  </si>
  <si>
    <t>LLW only (2013 UKRWI)</t>
  </si>
  <si>
    <t>1,300,000 expected</t>
  </si>
  <si>
    <t>Avoided Pig Iron</t>
  </si>
  <si>
    <t>Comparison of Storage and Disposal Facility Weighted Impact Category Results</t>
  </si>
  <si>
    <t>Recycling, UK, Limited Melting (NAFM)(% of Worst Case)</t>
  </si>
  <si>
    <t>Overall Life Cycle</t>
  </si>
  <si>
    <t>Decontamination</t>
  </si>
  <si>
    <t>Size Reduction</t>
  </si>
  <si>
    <t>Container Grouting</t>
  </si>
  <si>
    <t>UUK DV70s</t>
  </si>
  <si>
    <t>CNS(48) DV70s</t>
  </si>
  <si>
    <t>CNS(236) DV70s</t>
  </si>
  <si>
    <t>CNS(MDU) 200l Drums</t>
  </si>
  <si>
    <t>Sella (TPU) 50l Drums</t>
  </si>
  <si>
    <t>Misc (UO3) 200l Drums</t>
  </si>
  <si>
    <t>UUK 4m boxes</t>
  </si>
  <si>
    <t>CNS(48) 4m boxes</t>
  </si>
  <si>
    <t>CNS(236)) 4m boxes</t>
  </si>
  <si>
    <t>CNS(MDU) 4m boxes</t>
  </si>
  <si>
    <t>Sella (TPU) FHISOs</t>
  </si>
  <si>
    <t>Misc (UO3) 4m Boxes</t>
  </si>
  <si>
    <t>UUK Disposal</t>
  </si>
  <si>
    <t>CNS(48) Disposal</t>
  </si>
  <si>
    <t>CNS(236) Disposal</t>
  </si>
  <si>
    <t>CNS(MDU) Disposal</t>
  </si>
  <si>
    <t>Sella (TPU) Disposal</t>
  </si>
  <si>
    <t>Misc (UO3) Disposal</t>
  </si>
  <si>
    <t>Net Life Cycle Impact</t>
  </si>
  <si>
    <t>Life Cycle from the TREE</t>
  </si>
  <si>
    <t>Disposal Impact</t>
  </si>
  <si>
    <t>No significant difference in total waste volumes or % metals</t>
    <phoneticPr fontId="18" type="noConversion"/>
  </si>
  <si>
    <t>HHISO Steel</t>
  </si>
  <si>
    <t>HHISO Production</t>
  </si>
  <si>
    <t>HHISO Empty Transport</t>
  </si>
  <si>
    <t>HHISO Full Transport</t>
  </si>
  <si>
    <t xml:space="preserve">Boiler Metal Transport </t>
  </si>
  <si>
    <t>100% Low Alloyed Steel (Pt)</t>
  </si>
  <si>
    <t>100% Unalloyed Steel (Pt)</t>
  </si>
  <si>
    <t>HHISO Steel &amp; Production</t>
  </si>
  <si>
    <t>Road Transport</t>
  </si>
  <si>
    <t>Treatment</t>
  </si>
  <si>
    <t>Melting</t>
  </si>
  <si>
    <t>Secondary Waste</t>
  </si>
  <si>
    <t>Recycling  Avoided Metal</t>
  </si>
  <si>
    <t>Backfill</t>
  </si>
  <si>
    <t>Direct Disposal</t>
  </si>
  <si>
    <t>Packaged Disposal</t>
  </si>
  <si>
    <t>Containerised Recycling</t>
  </si>
  <si>
    <t>Total Life Cycle Weighted Results for L.A. and U.A. Steel with a uniform Weighting factor</t>
  </si>
  <si>
    <t>Increase</t>
  </si>
  <si>
    <t>Increase (%)</t>
  </si>
  <si>
    <t xml:space="preserve">Packaged Disposal </t>
  </si>
  <si>
    <t xml:space="preserve">Bulk Recycling </t>
  </si>
  <si>
    <t>Total Life Cycle Results for Unalloyed Steel with different weighting</t>
  </si>
  <si>
    <t>Uniform Weighting</t>
  </si>
  <si>
    <t>1 HHISO steel and production now split to allow alternative production process comparison in future</t>
  </si>
  <si>
    <t>(A)- (D) Metals volume for &lt; 200Bq/g to 2026</t>
  </si>
  <si>
    <t>Miles to km</t>
  </si>
  <si>
    <t>Comparison of Normalised Impact Category Results for 4 Reference Disposition Scenarios</t>
  </si>
  <si>
    <t>Comparison of Weighted Impact Category Results for 4 Reference Disposition Scenarios</t>
  </si>
  <si>
    <t>Radiation</t>
  </si>
  <si>
    <t>Carcinogen</t>
  </si>
  <si>
    <t>Respiratory Organics</t>
  </si>
  <si>
    <t>Waste Type</t>
  </si>
  <si>
    <t>2D43</t>
  </si>
  <si>
    <t>Number of Skips</t>
  </si>
  <si>
    <t>Sellafield Pond</t>
  </si>
  <si>
    <t xml:space="preserve">Portsmouth HMNB </t>
    <phoneticPr fontId="5" type="noConversion"/>
  </si>
  <si>
    <t>Sheffield</t>
    <phoneticPr fontId="5" type="noConversion"/>
  </si>
  <si>
    <t>Donnington (TF2 8JT)</t>
    <phoneticPr fontId="5" type="noConversion"/>
  </si>
  <si>
    <t>75% Stainless, 0.5% Mild Steel</t>
  </si>
  <si>
    <t>9B53</t>
  </si>
  <si>
    <t>9B78</t>
  </si>
  <si>
    <t>Bradwell Sludge</t>
  </si>
  <si>
    <t>9B55</t>
  </si>
  <si>
    <t>Magnox/Magnesium</t>
  </si>
  <si>
    <t>Aluminium</t>
  </si>
  <si>
    <t>Zircaloy/Zirconium</t>
  </si>
  <si>
    <t>Other metals</t>
  </si>
  <si>
    <t>Ferrous Metals HLW</t>
  </si>
  <si>
    <t>Rosyth</t>
    <phoneticPr fontId="18" type="noConversion"/>
  </si>
  <si>
    <t>Sellafield</t>
    <phoneticPr fontId="18" type="noConversion"/>
  </si>
  <si>
    <t>Comparison of Normalised Impact Category Results for Different No. of HHISOs</t>
  </si>
  <si>
    <t>Combined VLLW and LLW Metal</t>
  </si>
  <si>
    <t>VLLW + LLWDisposal Eco-Indicator 99 Score (Pt)</t>
  </si>
  <si>
    <t>ILW Disposal Eco-indicator 99 Score (Pt)</t>
  </si>
  <si>
    <t>Best Case (% of worst case).</t>
  </si>
  <si>
    <t>Item</t>
  </si>
  <si>
    <t>Min</t>
  </si>
  <si>
    <t>Max</t>
  </si>
  <si>
    <t>HHISO Costs (£ each)</t>
  </si>
  <si>
    <t>HHISO Transport Costs (£/trip)</t>
  </si>
  <si>
    <t>Drum 210l (£ each)</t>
  </si>
  <si>
    <t>SS 4mbox</t>
  </si>
  <si>
    <t>MS 4mbox</t>
  </si>
  <si>
    <t xml:space="preserve">Average Dist </t>
  </si>
  <si>
    <t>EAF Melting</t>
  </si>
  <si>
    <t>Outokumpu Sheffield S9 3XG</t>
  </si>
  <si>
    <t>Distance to Sellafield (miles) for melting</t>
  </si>
  <si>
    <t>Distance to Sheffield (miles) for melting</t>
  </si>
  <si>
    <t>Metals to Sheffield tkm</t>
  </si>
  <si>
    <t>Sellafield</t>
  </si>
  <si>
    <r>
      <t>MoD</t>
    </r>
    <r>
      <rPr>
        <b/>
        <vertAlign val="superscript"/>
        <sz val="11"/>
        <color indexed="8"/>
        <rFont val="Helvetica Neue"/>
      </rPr>
      <t>8</t>
    </r>
    <r>
      <rPr>
        <b/>
        <sz val="11"/>
        <color indexed="8"/>
        <rFont val="Helvetica Neue"/>
      </rPr>
      <t xml:space="preserve"> </t>
    </r>
  </si>
  <si>
    <t>8 - MoD data does not appear to include Vulcan NRTE data</t>
  </si>
  <si>
    <t>Dounreay</t>
  </si>
  <si>
    <t>from UK distance worksheet</t>
  </si>
  <si>
    <t>.</t>
  </si>
  <si>
    <t>Percentage of Total Metal Mass</t>
  </si>
  <si>
    <t>Percentage of metals &lt;200Bq/g</t>
  </si>
  <si>
    <t>HHISO Grouting</t>
  </si>
  <si>
    <t>Process Stage</t>
  </si>
  <si>
    <t xml:space="preserve">  Sea Transport</t>
  </si>
  <si>
    <t>UK Road Transport</t>
  </si>
  <si>
    <t>Sweden Road Transport</t>
  </si>
  <si>
    <t>PVC Wrapping</t>
  </si>
  <si>
    <t>UK Specialised Road Transport</t>
  </si>
  <si>
    <t>LLW (Including VLLW)</t>
  </si>
  <si>
    <t>LLW (including VLLW)</t>
  </si>
  <si>
    <t>LLW (Including VLLW) (2010 UKRWI)</t>
  </si>
  <si>
    <t>ILW (2010 UKRWI)</t>
  </si>
  <si>
    <t>ILW (2013 UKRWI)</t>
  </si>
  <si>
    <t>LLW (Including VLLW) (2013 UKRWI)</t>
  </si>
  <si>
    <t>Based on Table A1.1 p27 of 2013 UKRWI</t>
  </si>
  <si>
    <t>DDS1 500l Drum (Baseline)</t>
    <phoneticPr fontId="5" type="noConversion"/>
  </si>
  <si>
    <t xml:space="preserve">Impact of Interim Storage Package </t>
    <phoneticPr fontId="5" type="noConversion"/>
  </si>
  <si>
    <t xml:space="preserve">DDS4 200l Drums in 4m Box </t>
    <phoneticPr fontId="5" type="noConversion"/>
  </si>
  <si>
    <t xml:space="preserve">DDS1 500l Drum (Baseline) </t>
    <phoneticPr fontId="5" type="noConversion"/>
  </si>
  <si>
    <t>DDS4 200l Drums in 4m Box</t>
    <phoneticPr fontId="5" type="noConversion"/>
  </si>
  <si>
    <t>DDS1 500l Drum (Baseline)</t>
    <phoneticPr fontId="5" type="noConversion"/>
  </si>
  <si>
    <t>DDS6 Overpacked DNLEU as HAW</t>
    <phoneticPr fontId="5" type="noConversion"/>
  </si>
  <si>
    <t>DDS4 200l Drums in 4m Box</t>
    <phoneticPr fontId="5" type="noConversion"/>
  </si>
  <si>
    <t>6 Conversion from volume to mass Table 4.1 DECC and NDA 2011, i.e. 5000000/4720000 x volume</t>
  </si>
  <si>
    <t>All Wastes Volumes (2010 UKRWI)</t>
  </si>
  <si>
    <t>All Wastes Volumes (2013 UKRWI)</t>
  </si>
  <si>
    <t>Expecting</t>
  </si>
  <si>
    <t>Demand Million tonne and Import Share</t>
  </si>
  <si>
    <t>Recycling, UK, Limited Melting (AFM)(% of Worst Case)</t>
  </si>
  <si>
    <t>Hinkley A skip paint</t>
  </si>
  <si>
    <t>9D58</t>
  </si>
  <si>
    <t>9D59</t>
  </si>
  <si>
    <t>9D61</t>
  </si>
  <si>
    <t xml:space="preserve">LLW </t>
  </si>
  <si>
    <t>9D84</t>
  </si>
  <si>
    <t>Oldbury Sludge</t>
  </si>
  <si>
    <t>9(E)62</t>
  </si>
  <si>
    <t>9(E)61</t>
  </si>
  <si>
    <t>9F39</t>
  </si>
  <si>
    <t>Sizewell A Sludge</t>
  </si>
  <si>
    <t>ILW Sludge</t>
  </si>
  <si>
    <t>LLW Skips MS</t>
  </si>
  <si>
    <t>LLW Skips SS</t>
  </si>
  <si>
    <t>lLW</t>
  </si>
  <si>
    <t>CNS(MDU) DV70s</t>
  </si>
  <si>
    <t>Misc (UO3) DV70s</t>
  </si>
  <si>
    <t>Sella (TPU) DV70s</t>
  </si>
  <si>
    <t>Totals</t>
  </si>
  <si>
    <t>DV70 Disposal</t>
  </si>
  <si>
    <t>Package Impact</t>
  </si>
  <si>
    <t>ILW Skips MS</t>
  </si>
  <si>
    <t>Notes</t>
  </si>
  <si>
    <t>% Import</t>
  </si>
  <si>
    <t>Numbers in red are extrapolated from the graphs on the website and need to be confirmed</t>
  </si>
  <si>
    <t>Demand</t>
  </si>
  <si>
    <t>Sites</t>
  </si>
  <si>
    <t>VLLW</t>
  </si>
  <si>
    <r>
      <t>Total waste volume as reported</t>
    </r>
    <r>
      <rPr>
        <b/>
        <vertAlign val="superscript"/>
        <sz val="11"/>
        <color indexed="8"/>
        <rFont val="Helvetica Neue"/>
      </rPr>
      <t>1</t>
    </r>
    <r>
      <rPr>
        <b/>
        <sz val="11"/>
        <color indexed="8"/>
        <rFont val="Helvetica Neue"/>
      </rPr>
      <t xml:space="preserve"> (m</t>
    </r>
    <r>
      <rPr>
        <b/>
        <vertAlign val="superscript"/>
        <sz val="11"/>
        <color indexed="8"/>
        <rFont val="Helvetica Neue"/>
      </rPr>
      <t>3</t>
    </r>
    <r>
      <rPr>
        <b/>
        <sz val="11"/>
        <color indexed="8"/>
        <rFont val="Helvetica Neue"/>
      </rPr>
      <t>)</t>
    </r>
  </si>
  <si>
    <r>
      <t>Total waste based on material fraction</t>
    </r>
    <r>
      <rPr>
        <b/>
        <vertAlign val="superscript"/>
        <sz val="11"/>
        <color indexed="8"/>
        <rFont val="Helvetica Neue"/>
      </rPr>
      <t>1</t>
    </r>
    <r>
      <rPr>
        <b/>
        <sz val="11"/>
        <color indexed="8"/>
        <rFont val="Helvetica Neue"/>
      </rPr>
      <t xml:space="preserve"> (m</t>
    </r>
    <r>
      <rPr>
        <b/>
        <vertAlign val="superscript"/>
        <sz val="11"/>
        <color indexed="8"/>
        <rFont val="Helvetica Neue"/>
      </rPr>
      <t>3</t>
    </r>
    <r>
      <rPr>
        <b/>
        <sz val="11"/>
        <color indexed="8"/>
        <rFont val="Helvetica Neue"/>
      </rPr>
      <t>)</t>
    </r>
  </si>
  <si>
    <t>Melting Only Electrical Load</t>
  </si>
  <si>
    <t>Slag</t>
  </si>
  <si>
    <t>Slag Crushing</t>
  </si>
  <si>
    <t>Total Miles</t>
    <phoneticPr fontId="5" type="noConversion"/>
  </si>
  <si>
    <t>UKRWI Site Waste and Metals Volumes up to 2120</t>
  </si>
  <si>
    <t>LLWR Metallic Waste Treatment Costs</t>
  </si>
  <si>
    <t>From Waste Metric Dashboard August 2012</t>
  </si>
  <si>
    <t>Range</t>
  </si>
  <si>
    <t>Whole</t>
  </si>
  <si>
    <t>0-10te</t>
  </si>
  <si>
    <t>10-50te</t>
  </si>
  <si>
    <t xml:space="preserve"> </t>
  </si>
  <si>
    <t>50+te</t>
  </si>
  <si>
    <t>£/te</t>
  </si>
  <si>
    <t>Ave</t>
  </si>
  <si>
    <t>SD</t>
  </si>
  <si>
    <t>Standard Dev</t>
  </si>
  <si>
    <t>% Activation</t>
  </si>
  <si>
    <t>Surf Contam</t>
  </si>
  <si>
    <t>Metal (tonne)</t>
  </si>
  <si>
    <t>Non Rad</t>
  </si>
  <si>
    <t>Activated</t>
  </si>
  <si>
    <t>Hartlepool</t>
  </si>
  <si>
    <t>Total*</t>
  </si>
  <si>
    <t>2 The secondary waste includes the PVC wrapping and its disposal to ensure all the impacts are recorded here.</t>
  </si>
  <si>
    <t>Comparison of Material and Process Impacts for 4 Reference Disposition Scenarios</t>
  </si>
  <si>
    <t xml:space="preserve">Impact of Disposal Package </t>
    <phoneticPr fontId="5" type="noConversion"/>
  </si>
  <si>
    <t>Waste Volume (m3)</t>
  </si>
  <si>
    <t>tkm for Total LLW Metals to 2120 (mass weighted average transport distance)</t>
  </si>
  <si>
    <t xml:space="preserve">Combined Comparison for Disposal and Recycling Unalloyed Steel including boiler steel impacts </t>
  </si>
  <si>
    <t>Comparison of Steels for WAGR Boilers Containerised Recycling (low and unalloyed steel)</t>
  </si>
  <si>
    <t>Comparison of Steels for WAGR Boilers Bulk Recycling (low and un- alloyed steel)</t>
  </si>
  <si>
    <t>Comparison of Steels for WAGR Boilers Packaged Disposal (low and un- alloyed steel)</t>
  </si>
  <si>
    <t>Comparison of Steels for WAGR Boilers Direct Disposal (low and un- alloyed steel)</t>
  </si>
  <si>
    <t>Skips &amp; Pond sludge</t>
  </si>
  <si>
    <t>Dungeness A</t>
  </si>
  <si>
    <t>9C44</t>
  </si>
  <si>
    <t>9C45</t>
  </si>
  <si>
    <t>Dungeness Sludge</t>
  </si>
  <si>
    <t>9C48</t>
  </si>
  <si>
    <t>Sludge</t>
  </si>
  <si>
    <t>9C49</t>
  </si>
  <si>
    <t xml:space="preserve">ILW </t>
  </si>
  <si>
    <t>Hinkley Point A</t>
  </si>
  <si>
    <t>9D31</t>
  </si>
  <si>
    <t>United Kingdom Steel Market Volume</t>
  </si>
  <si>
    <t>Comparison Normalised Impact Category Results for Bulk Recycling with Different Recycling Percentages</t>
  </si>
  <si>
    <t>Comparison Weighted Impact Category Results for Bulk Recycling with Different Recycling Percentages</t>
  </si>
  <si>
    <t>Sizewell A</t>
    <phoneticPr fontId="18" type="noConversion"/>
  </si>
  <si>
    <t>35 HHISOs (Drigg) 10% Mass Proxy</t>
  </si>
  <si>
    <t>Weighted Average km &amp; tkm</t>
  </si>
  <si>
    <t>Weighted Average km &amp;tkm</t>
  </si>
  <si>
    <t>Culham (OX14 3DB)</t>
  </si>
  <si>
    <t>Devenport HMNB (PL1 4SG)</t>
  </si>
  <si>
    <t>Dounreay (KW14 7TZ)</t>
  </si>
  <si>
    <t>Magnox and LLWR JWMP 2013 Disposal Costs of 779te of metals</t>
    <phoneticPr fontId="18" type="noConversion"/>
  </si>
  <si>
    <t>Disposal, U3O8 in 500l Drums (DDS1)</t>
    <phoneticPr fontId="5" type="noConversion"/>
  </si>
  <si>
    <t>Disposal in HHISOs with Liner (DDS2)</t>
    <phoneticPr fontId="5" type="noConversion"/>
  </si>
  <si>
    <t>Disposal, Grouted 4m boxes (DDS3)</t>
    <phoneticPr fontId="5" type="noConversion"/>
  </si>
  <si>
    <t>Disposal, 200l Drums in 4m boxes (DDS4)</t>
    <phoneticPr fontId="5" type="noConversion"/>
  </si>
  <si>
    <t>Disposal, Grouted 3m3 Drums (DDS5)</t>
    <phoneticPr fontId="5" type="noConversion"/>
  </si>
  <si>
    <t>Combined Comparison for Disposal and Recycling Low Alloyed Steel (including boiler steel impacts)</t>
  </si>
  <si>
    <t>Combined Comparison of all 4 disposition options for low and un-alloyed steel (including boiler steel impacts)</t>
  </si>
  <si>
    <t>SimaPro Life Cycle Normalised Results for Low Alloyed (L.A.) and Unalloyed (U.A.) Steel (4 disposition options)</t>
  </si>
  <si>
    <t>SimaPro Life Cycle Weighted Results for Low Alloyed (L.A.) and Unalloyed (U.A.) Steel (4 disposition options)</t>
  </si>
  <si>
    <t>Comparison of HHISOs from different source locations</t>
    <phoneticPr fontId="5" type="noConversion"/>
  </si>
  <si>
    <t>Comparison of HHISO  Normalised Impact Category Results</t>
    <phoneticPr fontId="5" type="noConversion"/>
  </si>
  <si>
    <t>Comparison of HHISO Standard Weighted Impact Category Results</t>
    <phoneticPr fontId="5" type="noConversion"/>
  </si>
  <si>
    <t>Comparison of Standard Weighted Impact Category Results for Different HHISO Production Processes</t>
    <phoneticPr fontId="5" type="noConversion"/>
  </si>
  <si>
    <t>WAGR Basic Cost Data</t>
    <phoneticPr fontId="5" type="noConversion"/>
  </si>
  <si>
    <t>WAGR Boiler Disposal Costs</t>
    <phoneticPr fontId="5" type="noConversion"/>
  </si>
  <si>
    <t>Comparison of Weighted Impact Category Results Recycling Without Avoided Metal Sweden</t>
    <phoneticPr fontId="5" type="noConversion"/>
  </si>
  <si>
    <t>Worst and Best Case Disposal Costs (Baseline and Improved Disposal)</t>
    <phoneticPr fontId="18" type="noConversion"/>
  </si>
  <si>
    <t>Magnox and LLWR JWMP 2013 Treatment  Costs of 779te of metals</t>
    <phoneticPr fontId="18" type="noConversion"/>
  </si>
  <si>
    <t>Scaled HAW Disposal Costs (Min)</t>
  </si>
  <si>
    <t>Transport Cost (Min)</t>
  </si>
  <si>
    <t>Scaled HAW Disposal Costs (Max)</t>
  </si>
  <si>
    <t>Transport Cost (Ave)</t>
  </si>
  <si>
    <t>Scaled HAW Disposal Costs (Ave)</t>
  </si>
  <si>
    <t>GDF Disposal Volume Cost (Min)</t>
  </si>
  <si>
    <t>GDF Disposal Volume Cost (Max)</t>
  </si>
  <si>
    <t>Average Total Disposal Cost by £/m3</t>
  </si>
  <si>
    <t>Average Total Disposal Cost by Vault Volume</t>
  </si>
  <si>
    <t>HAW Disposal (SS Overpacks)</t>
  </si>
  <si>
    <t>Basline Disposal (Pt)</t>
  </si>
  <si>
    <t>Improved Disposal</t>
  </si>
  <si>
    <t>Fusion</t>
  </si>
  <si>
    <t xml:space="preserve"> Melting Electricity</t>
  </si>
  <si>
    <t xml:space="preserve">  Disposal</t>
  </si>
  <si>
    <t xml:space="preserve">  Slag</t>
  </si>
  <si>
    <t xml:space="preserve">  Slag Crushing</t>
  </si>
  <si>
    <t xml:space="preserve">  HHISO Steel</t>
  </si>
  <si>
    <t xml:space="preserve">  Sweden Road Transport</t>
  </si>
  <si>
    <t>Comparison fo Packaging and Disposal Impacts for Baseline and Improved Disposal and International Treatment With and Without Recycling (%TBI)</t>
    <phoneticPr fontId="5" type="noConversion"/>
  </si>
  <si>
    <t>Comparison of Impact Category Results for Baseline Disposal and International Treatement With and Without Recycling (%TBI)</t>
    <phoneticPr fontId="5" type="noConversion"/>
  </si>
  <si>
    <t>Comparison of Impact Category Results for Baseline and Improved Disposal and International Treatment With and Without Recycling (%TBI)</t>
    <phoneticPr fontId="5" type="noConversion"/>
  </si>
  <si>
    <t>Comparison of Total Worst and Best Case LLW Disposal Results (i.e. Baseline and Improved Disposal)</t>
    <phoneticPr fontId="5" type="noConversion"/>
  </si>
  <si>
    <t>Comparison of Total Worst and Best Case Net VLLW + LLW Disposal Results (i.e Baseline and Improved Disposal)</t>
    <phoneticPr fontId="5" type="noConversion"/>
  </si>
  <si>
    <t>Comparison of Total Worst and Best Case ILW Disposal Results (i.e. Baseline and Improved Disposal)</t>
    <phoneticPr fontId="5" type="noConversion"/>
  </si>
  <si>
    <t>Comparison of Total Worst and Best Case VLLW Disposal Results (i.e. Baseline and Improved Disposal)</t>
    <phoneticPr fontId="5" type="noConversion"/>
  </si>
  <si>
    <t>Comparison of Total Worst and Best Case Disposal Overall Results (i.e. Baseline and Improved Disposal)</t>
    <phoneticPr fontId="5" type="noConversion"/>
  </si>
  <si>
    <t>Comparison of Total Worst and Best Case Disposal Impact Category Results (i.e. Baseline and Improved Disposal)</t>
    <phoneticPr fontId="5" type="noConversion"/>
  </si>
  <si>
    <t>Planning Norm Total LC Impact</t>
    <phoneticPr fontId="5" type="noConversion"/>
  </si>
  <si>
    <t>Comparison of Packaging and Disposal Impacts for Baseline and Improved Disposal (%TBI)</t>
    <phoneticPr fontId="5" type="noConversion"/>
  </si>
  <si>
    <t>Packaging and Disposal Impacts for Baseline Disposal (%TBI)</t>
    <phoneticPr fontId="5" type="noConversion"/>
  </si>
  <si>
    <t>Comparison of Packaging and Disposal Impacts for Baseline Disposal, International Treatment With and Without Recycling (%TBI)</t>
    <phoneticPr fontId="5" type="noConversion"/>
  </si>
  <si>
    <t>Comparison of Material and Process Impacts for Containerised Recycling with Quadrupled Slag and Slag Crushing</t>
  </si>
  <si>
    <t>x4 Slag</t>
  </si>
  <si>
    <t>Hunterston A &amp;B (KA23 9RA &amp; KA13 9QJ)</t>
  </si>
  <si>
    <t>Enrichment</t>
  </si>
  <si>
    <t>EDF PWR</t>
  </si>
  <si>
    <t>EDE PWR</t>
  </si>
  <si>
    <t>Small Users</t>
  </si>
  <si>
    <t>NDA Disposal</t>
  </si>
  <si>
    <t>Quantity</t>
  </si>
  <si>
    <t>Unit Cost</t>
  </si>
  <si>
    <t>Cost</t>
  </si>
  <si>
    <t>Metal Treatment Cost</t>
  </si>
  <si>
    <t>Containers Costs</t>
  </si>
  <si>
    <t>Residual Waste Disposal Cost</t>
  </si>
  <si>
    <t>Empty Container Transport Cost</t>
  </si>
  <si>
    <t>Container Cost</t>
  </si>
  <si>
    <t>Activity Cost</t>
  </si>
  <si>
    <t>Transport Costs</t>
  </si>
  <si>
    <t>Full Container Transport Cost</t>
  </si>
  <si>
    <t>DDS2 HHISO/Liner</t>
  </si>
  <si>
    <t>DDS3 Grouted 4m Box</t>
  </si>
  <si>
    <t>DDS5 3m3 Drum</t>
  </si>
  <si>
    <t>DDS6 Overpacked LTIS as HAW</t>
  </si>
  <si>
    <t>DDS6 Overpacked DNLEU as HAW</t>
    <phoneticPr fontId="5" type="noConversion"/>
  </si>
  <si>
    <t>DDS2 (HHISO/Liner)</t>
    <phoneticPr fontId="5" type="noConversion"/>
  </si>
  <si>
    <t>DDS3 (Grouted 4m Box)</t>
    <phoneticPr fontId="5" type="noConversion"/>
  </si>
  <si>
    <t>Trawsfynydd (LL41 4DT)</t>
    <phoneticPr fontId="5" type="noConversion"/>
  </si>
  <si>
    <t>Vulcan (NRTE) (KW14 7TZ)</t>
    <phoneticPr fontId="5" type="noConversion"/>
  </si>
  <si>
    <t>Windscale (CA20 iPG)</t>
    <phoneticPr fontId="5" type="noConversion"/>
  </si>
  <si>
    <t>Winfrith (DT2 8DH)</t>
    <phoneticPr fontId="5" type="noConversion"/>
  </si>
  <si>
    <t>GDF Disposal Volume Costs (Ave)</t>
    <phoneticPr fontId="5" type="noConversion"/>
  </si>
  <si>
    <t>Torness (EH42 1QS)</t>
    <phoneticPr fontId="5" type="noConversion"/>
  </si>
  <si>
    <t>2007 UKRWI</t>
  </si>
  <si>
    <t>Calder Hall</t>
    <phoneticPr fontId="18" type="noConversion"/>
  </si>
  <si>
    <t>Capenhurst</t>
    <phoneticPr fontId="18" type="noConversion"/>
  </si>
  <si>
    <t>Chapelcross</t>
    <phoneticPr fontId="18" type="noConversion"/>
  </si>
  <si>
    <t>Culham</t>
    <phoneticPr fontId="18" type="noConversion"/>
  </si>
  <si>
    <t>Donnigton</t>
    <phoneticPr fontId="18" type="noConversion"/>
  </si>
  <si>
    <t>Dounreay</t>
    <phoneticPr fontId="18" type="noConversion"/>
  </si>
  <si>
    <t>Dungeness A</t>
    <phoneticPr fontId="18" type="noConversion"/>
  </si>
  <si>
    <t>Dungeness B</t>
    <phoneticPr fontId="18" type="noConversion"/>
  </si>
  <si>
    <t>Eskmeals</t>
    <phoneticPr fontId="18" type="noConversion"/>
  </si>
  <si>
    <t>Flask &amp; Flatrolls</t>
    <phoneticPr fontId="18" type="noConversion"/>
  </si>
  <si>
    <t>GE Cardiff</t>
    <phoneticPr fontId="18" type="noConversion"/>
  </si>
  <si>
    <t>Hartlepool</t>
    <phoneticPr fontId="18" type="noConversion"/>
  </si>
  <si>
    <t>Harwell</t>
    <phoneticPr fontId="18" type="noConversion"/>
  </si>
  <si>
    <t>Heysham 1</t>
    <phoneticPr fontId="18" type="noConversion"/>
  </si>
  <si>
    <t>Heysham 2</t>
    <phoneticPr fontId="18" type="noConversion"/>
  </si>
  <si>
    <t>Comparison of Standard Weighted Impact Category Results for Different No. of HHISOs</t>
  </si>
  <si>
    <t>35 HHISOs (Drigg) Ave. Metal Working</t>
  </si>
  <si>
    <t>35 HHISOs (Drigg) Ave. Steel Working</t>
  </si>
  <si>
    <t>1 and 2</t>
  </si>
  <si>
    <t>1 The average metal working processing increase the production impact by a factor of 14</t>
  </si>
  <si>
    <t>2 The average steel working process increases the production impact by a factor of 9.2</t>
  </si>
  <si>
    <t>Comparison of HHISOs Production Impact</t>
  </si>
  <si>
    <t>tkm of LA-LLW Metals to 2026</t>
  </si>
  <si>
    <r>
      <t xml:space="preserve">Average Distance km &amp; Total tkm </t>
    </r>
    <r>
      <rPr>
        <b/>
        <vertAlign val="superscript"/>
        <sz val="11"/>
        <color indexed="8"/>
        <rFont val="Helvetica Neue"/>
      </rPr>
      <t>7</t>
    </r>
    <r>
      <rPr>
        <b/>
        <sz val="11"/>
        <color indexed="8"/>
        <rFont val="Helvetica Neue"/>
      </rPr>
      <t xml:space="preserve"> </t>
    </r>
  </si>
  <si>
    <t>Calder Hall (CA20 1PG)</t>
  </si>
  <si>
    <t>Capenhurst (CH1 6ER)</t>
  </si>
  <si>
    <t>Chapelcross (DG12 6RF)</t>
  </si>
  <si>
    <t>??????</t>
  </si>
  <si>
    <t>LLW Disposal Costs (Min)</t>
  </si>
  <si>
    <t>DV70 VLLW Disposal Costs (Min)</t>
  </si>
  <si>
    <t>DDS1 500l Drum(Baseline)</t>
    <phoneticPr fontId="5" type="noConversion"/>
  </si>
  <si>
    <t>DDS4 (200l Drums in 4m Box)</t>
    <phoneticPr fontId="5" type="noConversion"/>
  </si>
  <si>
    <t>SDS1 (Overpacked DNLEU as LLW (SS))</t>
    <phoneticPr fontId="5" type="noConversion"/>
  </si>
  <si>
    <t>SDS2 (Overpacked DNLEU as LLW (CS))</t>
    <phoneticPr fontId="5" type="noConversion"/>
  </si>
  <si>
    <t>SDS1 Overpacked DNLEU as LLW (SS)</t>
    <phoneticPr fontId="5" type="noConversion"/>
  </si>
  <si>
    <t>SDS2 Overpacked DNLEU as LLW (CS)</t>
    <phoneticPr fontId="5" type="noConversion"/>
  </si>
  <si>
    <t>Clyde HMNB (G84 8HL)</t>
  </si>
  <si>
    <t>Total Costs (Min)</t>
  </si>
  <si>
    <t>Baseline 500l Drums</t>
  </si>
  <si>
    <t>Grouted 4m Boxes</t>
  </si>
  <si>
    <t>200l Drums/4m Boxes</t>
  </si>
  <si>
    <t>Overpacked LTIS as HAW</t>
  </si>
  <si>
    <t>DDS5 (3m3 Drums)</t>
    <phoneticPr fontId="5" type="noConversion"/>
  </si>
  <si>
    <t>DDS6 (Overpacked DNLEU as HAW)</t>
    <phoneticPr fontId="5" type="noConversion"/>
  </si>
  <si>
    <t>UK Diesel Costs (Based on the AA Monthly Fuel Price Reports)</t>
    <phoneticPr fontId="18" type="noConversion"/>
  </si>
  <si>
    <t>Year</t>
    <phoneticPr fontId="18" type="noConversion"/>
  </si>
  <si>
    <t>Feb</t>
    <phoneticPr fontId="18" type="noConversion"/>
  </si>
  <si>
    <t>Mar</t>
    <phoneticPr fontId="18" type="noConversion"/>
  </si>
  <si>
    <t>May</t>
    <phoneticPr fontId="18" type="noConversion"/>
  </si>
  <si>
    <t>Dungeness A and B (TN29 9PP &amp; TN29 9PX)</t>
  </si>
  <si>
    <t>Eskmeals</t>
  </si>
  <si>
    <t>Hartlepool (TS25 2BZ)</t>
  </si>
  <si>
    <t>N/A</t>
    <phoneticPr fontId="5" type="noConversion"/>
  </si>
  <si>
    <t>Sites - RAC Rouite Planner</t>
  </si>
  <si>
    <t>Comparison of Weighted Impact Category Results for Containerised Recycling with Quadrupled Size Reduction and Decontamination</t>
  </si>
  <si>
    <t>1 Changing the backfill to average cement grout increases the impact from 304 to 2.03E4 Pt and the net L/C impact from 1.04E5 to 1.24E5 (i.e. 19.2%) 3/6/13</t>
  </si>
  <si>
    <t xml:space="preserve">No. of Location </t>
    <phoneticPr fontId="5" type="noConversion"/>
  </si>
  <si>
    <t>Average Distance (miles)</t>
    <phoneticPr fontId="5" type="noConversion"/>
  </si>
  <si>
    <t>Excel Ave (miles)</t>
    <phoneticPr fontId="5" type="noConversion"/>
  </si>
  <si>
    <t>Overall Average (miles)</t>
    <phoneticPr fontId="5" type="noConversion"/>
  </si>
  <si>
    <t>VLLW Ave (miles)</t>
    <phoneticPr fontId="5" type="noConversion"/>
  </si>
  <si>
    <t>Aldermaston (RG7 4PR)</t>
    <phoneticPr fontId="5" type="noConversion"/>
  </si>
  <si>
    <t>Amersham (HP7 9LL)</t>
    <phoneticPr fontId="5" type="noConversion"/>
  </si>
  <si>
    <t>Barrow (LA14 2(W)</t>
    <phoneticPr fontId="5" type="noConversion"/>
  </si>
  <si>
    <t>Cardiff (CF14 7YT)</t>
    <phoneticPr fontId="5" type="noConversion"/>
  </si>
  <si>
    <t>Heyshem 1</t>
  </si>
  <si>
    <t>Heyshem 2</t>
  </si>
  <si>
    <t>Hinkley B</t>
  </si>
  <si>
    <t>* There appears to be some small rounding errors between the calculated total and the overall life cycle impact taken from SimaPro</t>
  </si>
  <si>
    <t>Bulk Recycling</t>
  </si>
  <si>
    <t>Direct Disposal L.A.</t>
  </si>
  <si>
    <t>Direct Disposal U.A.</t>
  </si>
  <si>
    <t>Packaged Disposal L.A.</t>
  </si>
  <si>
    <t>Packaged Disposal U.A.</t>
  </si>
  <si>
    <t>Bulk Recycling U.A.</t>
  </si>
  <si>
    <t>Containerised Recycling L.A.</t>
  </si>
  <si>
    <t>Containerised Recycling U.A.</t>
  </si>
  <si>
    <t>Impact Category</t>
  </si>
  <si>
    <t>2C20</t>
  </si>
  <si>
    <r>
      <t>Bulk Density (t/m</t>
    </r>
    <r>
      <rPr>
        <vertAlign val="superscript"/>
        <sz val="11"/>
        <color indexed="8"/>
        <rFont val="Helvetica Neue"/>
      </rPr>
      <t>3</t>
    </r>
    <r>
      <rPr>
        <sz val="11"/>
        <color indexed="8"/>
        <rFont val="Helvetica Neue"/>
      </rPr>
      <t>)</t>
    </r>
  </si>
  <si>
    <t>Nominal Mass (te)</t>
  </si>
  <si>
    <r>
      <t>Waste volume (m</t>
    </r>
    <r>
      <rPr>
        <vertAlign val="superscript"/>
        <sz val="11"/>
        <color indexed="8"/>
        <rFont val="Helvetica Neue"/>
      </rPr>
      <t>3</t>
    </r>
    <r>
      <rPr>
        <sz val="11"/>
        <color indexed="8"/>
        <rFont val="Helvetica Neue"/>
      </rPr>
      <t>)</t>
    </r>
  </si>
  <si>
    <t>Dounreay (KW14 7TZ) &amp; Vulcan NRTE</t>
  </si>
  <si>
    <t>United Kingdom</t>
  </si>
  <si>
    <t>48 HHISO, 4x Decontamination</t>
  </si>
  <si>
    <t>Reference Case</t>
  </si>
  <si>
    <t>x2 Specialised Transport</t>
  </si>
  <si>
    <t>Comparison Weighted Impact Category Results for Containerised Recycling with Different Avoided Metals</t>
  </si>
  <si>
    <t>Sites - AA Route Planner</t>
    <phoneticPr fontId="5" type="noConversion"/>
  </si>
  <si>
    <t>??????</t>
    <phoneticPr fontId="5" type="noConversion"/>
  </si>
  <si>
    <t>??????</t>
    <phoneticPr fontId="5" type="noConversion"/>
  </si>
  <si>
    <t>Comparison of Material and Process Impacts for Bulk Recycling with Melting Voltage Variation</t>
  </si>
  <si>
    <t>Pig Iron Case</t>
  </si>
  <si>
    <t>Pig Iron Case x2 Melting</t>
  </si>
  <si>
    <t>Final Ref Case</t>
  </si>
  <si>
    <t>Comparison of Material and Process Impacts for Bulk Recycling with Double Electrical load for Melting</t>
  </si>
  <si>
    <t>Sizewell B</t>
    <phoneticPr fontId="18" type="noConversion"/>
  </si>
  <si>
    <t>Springfields</t>
    <phoneticPr fontId="18" type="noConversion"/>
  </si>
  <si>
    <r>
      <t>Total metals mass to 2120</t>
    </r>
    <r>
      <rPr>
        <b/>
        <vertAlign val="superscript"/>
        <sz val="11"/>
        <color indexed="8"/>
        <rFont val="Helvetica Neue"/>
      </rPr>
      <t>6</t>
    </r>
    <r>
      <rPr>
        <b/>
        <sz val="11"/>
        <color indexed="8"/>
        <rFont val="Helvetica Neue"/>
      </rPr>
      <t xml:space="preserve"> (tonne)</t>
    </r>
  </si>
  <si>
    <r>
      <t>(A) Metals volume for &lt;200Bq/g to 2026</t>
    </r>
    <r>
      <rPr>
        <vertAlign val="superscript"/>
        <sz val="11"/>
        <color indexed="8"/>
        <rFont val="Helvetica Neue"/>
      </rPr>
      <t>2</t>
    </r>
    <r>
      <rPr>
        <sz val="11"/>
        <color indexed="8"/>
        <rFont val="Helvetica Neue"/>
      </rPr>
      <t xml:space="preserve"> (m</t>
    </r>
    <r>
      <rPr>
        <vertAlign val="superscript"/>
        <sz val="11"/>
        <color indexed="8"/>
        <rFont val="Helvetica Neue"/>
      </rPr>
      <t>3</t>
    </r>
    <r>
      <rPr>
        <sz val="11"/>
        <color indexed="8"/>
        <rFont val="Helvetica Neue"/>
      </rPr>
      <t>)</t>
    </r>
  </si>
  <si>
    <r>
      <t>(D) Metals volume for &lt; 200Bq/g by WH</t>
    </r>
    <r>
      <rPr>
        <vertAlign val="superscript"/>
        <sz val="11"/>
        <color indexed="8"/>
        <rFont val="Helvetica Neue"/>
      </rPr>
      <t>5</t>
    </r>
    <r>
      <rPr>
        <sz val="11"/>
        <color indexed="8"/>
        <rFont val="Helvetica Neue"/>
      </rPr>
      <t xml:space="preserve"> (m</t>
    </r>
    <r>
      <rPr>
        <vertAlign val="superscript"/>
        <sz val="11"/>
        <color indexed="8"/>
        <rFont val="Helvetica Neue"/>
      </rPr>
      <t>3</t>
    </r>
    <r>
      <rPr>
        <sz val="11"/>
        <color indexed="8"/>
        <rFont val="Helvetica Neue"/>
      </rPr>
      <t>)</t>
    </r>
  </si>
  <si>
    <t>Aldermaston</t>
    <phoneticPr fontId="18" type="noConversion"/>
  </si>
  <si>
    <t>Barrow</t>
    <phoneticPr fontId="18" type="noConversion"/>
  </si>
  <si>
    <t>Berkeley</t>
    <phoneticPr fontId="18" type="noConversion"/>
  </si>
  <si>
    <t>Bradwell</t>
    <phoneticPr fontId="18" type="noConversion"/>
  </si>
  <si>
    <t>Amersham</t>
    <phoneticPr fontId="18" type="noConversion"/>
  </si>
  <si>
    <t>(A) - (D)</t>
    <phoneticPr fontId="18" type="noConversion"/>
  </si>
  <si>
    <t xml:space="preserve">Total metals for vol reduction and recycling </t>
    <phoneticPr fontId="18" type="noConversion"/>
  </si>
  <si>
    <t>Comparison of Material and Process Impacts for Containerised Recycling with Double Electrical load for Melting</t>
  </si>
  <si>
    <t>2 From Table 5 of LLWR Ltd and NDA 2011</t>
    <phoneticPr fontId="18" type="noConversion"/>
  </si>
  <si>
    <t>3 From Table 6 of LLWR Ltd and NDA 2011</t>
    <phoneticPr fontId="18" type="noConversion"/>
  </si>
  <si>
    <t>4 From Table 7 of LLWR Ltd and NDA 2011</t>
    <phoneticPr fontId="18" type="noConversion"/>
  </si>
  <si>
    <t>5 From Table 8 of LLWR Ltd and NDA 2011</t>
    <phoneticPr fontId="18" type="noConversion"/>
  </si>
  <si>
    <t>Hinkley Point A</t>
    <phoneticPr fontId="18" type="noConversion"/>
  </si>
  <si>
    <t>Hinkley Point B</t>
    <phoneticPr fontId="18" type="noConversion"/>
  </si>
  <si>
    <t>HMNB Portsmouth</t>
    <phoneticPr fontId="18" type="noConversion"/>
  </si>
  <si>
    <r>
      <t>(A) Metals volume for  &lt;200Bq/g to 2026</t>
    </r>
    <r>
      <rPr>
        <vertAlign val="superscript"/>
        <sz val="11"/>
        <color indexed="8"/>
        <rFont val="Helvetica Neue"/>
      </rPr>
      <t>2</t>
    </r>
    <r>
      <rPr>
        <sz val="11"/>
        <color indexed="8"/>
        <rFont val="Helvetica Neue"/>
      </rPr>
      <t xml:space="preserve"> (m</t>
    </r>
    <r>
      <rPr>
        <vertAlign val="superscript"/>
        <sz val="11"/>
        <color indexed="8"/>
        <rFont val="Helvetica Neue"/>
      </rPr>
      <t>3</t>
    </r>
    <r>
      <rPr>
        <sz val="11"/>
        <color indexed="8"/>
        <rFont val="Helvetica Neue"/>
      </rPr>
      <t>)</t>
    </r>
  </si>
  <si>
    <r>
      <t>(B) Metal volume for &lt;200Bq/g and WH to 2026</t>
    </r>
    <r>
      <rPr>
        <vertAlign val="superscript"/>
        <sz val="11"/>
        <color indexed="13"/>
        <rFont val="Helvetica Neue"/>
      </rPr>
      <t>3</t>
    </r>
    <r>
      <rPr>
        <sz val="11"/>
        <color indexed="13"/>
        <rFont val="Helvetica Neue"/>
      </rPr>
      <t xml:space="preserve"> (m</t>
    </r>
    <r>
      <rPr>
        <vertAlign val="superscript"/>
        <sz val="11"/>
        <color indexed="13"/>
        <rFont val="Helvetica Neue"/>
      </rPr>
      <t>3</t>
    </r>
    <r>
      <rPr>
        <sz val="11"/>
        <color indexed="13"/>
        <rFont val="Helvetica Neue"/>
      </rPr>
      <t>)</t>
    </r>
  </si>
  <si>
    <r>
      <t>(C ) Metals volume for &lt;200Bq/g via conventional disposal</t>
    </r>
    <r>
      <rPr>
        <vertAlign val="superscript"/>
        <sz val="11"/>
        <color indexed="13"/>
        <rFont val="Helvetica Neue"/>
      </rPr>
      <t>4</t>
    </r>
    <r>
      <rPr>
        <sz val="11"/>
        <color indexed="13"/>
        <rFont val="Helvetica Neue"/>
      </rPr>
      <t xml:space="preserve"> (m</t>
    </r>
    <r>
      <rPr>
        <vertAlign val="superscript"/>
        <sz val="11"/>
        <color indexed="13"/>
        <rFont val="Helvetica Neue"/>
      </rPr>
      <t>3</t>
    </r>
    <r>
      <rPr>
        <sz val="11"/>
        <color indexed="13"/>
        <rFont val="Helvetica Neue"/>
      </rPr>
      <t>)</t>
    </r>
  </si>
  <si>
    <r>
      <t>(D) Metals volume for &lt;200Bq/g by WH</t>
    </r>
    <r>
      <rPr>
        <vertAlign val="superscript"/>
        <sz val="11"/>
        <color indexed="8"/>
        <rFont val="Helvetica Neue"/>
      </rPr>
      <t>5</t>
    </r>
    <r>
      <rPr>
        <sz val="11"/>
        <color indexed="8"/>
        <rFont val="Helvetica Neue"/>
      </rPr>
      <t xml:space="preserve"> (m</t>
    </r>
    <r>
      <rPr>
        <vertAlign val="superscript"/>
        <sz val="11"/>
        <color indexed="8"/>
        <rFont val="Helvetica Neue"/>
      </rPr>
      <t>3</t>
    </r>
    <r>
      <rPr>
        <sz val="11"/>
        <color indexed="8"/>
        <rFont val="Helvetica Neue"/>
      </rPr>
      <t>)</t>
    </r>
  </si>
  <si>
    <t>Excluding Sellafield</t>
  </si>
  <si>
    <t>Metals to Sheffield weighted average distance (km)</t>
  </si>
  <si>
    <t>Metals to Sellafield weighted average distance (km)</t>
  </si>
  <si>
    <t>Distances (miles)</t>
  </si>
  <si>
    <t>Kings Cliffe (PE8 6XX)</t>
  </si>
  <si>
    <t>LLWR Drigg (CA19 1XH)</t>
  </si>
  <si>
    <t>Bradwell (CMO 7HP)</t>
  </si>
  <si>
    <t>N/A</t>
  </si>
  <si>
    <t>100 years after start-up</t>
  </si>
  <si>
    <t>Scenario</t>
  </si>
  <si>
    <t>Disposal Package Costs (Min)</t>
  </si>
  <si>
    <t>Specialist on-site disposal</t>
  </si>
  <si>
    <t>Range of original values, $516 to $709 per cubic metre</t>
  </si>
  <si>
    <t>Comparison Normalised Impact Category Results for Bulk Recycling with Double Melting Load</t>
  </si>
  <si>
    <t>Overpacked LTIS as LLW</t>
  </si>
  <si>
    <t>Overpacked LTIS as LLW (carbon steel containers)</t>
  </si>
  <si>
    <t>LTIS Package Cost (Ave)</t>
  </si>
  <si>
    <t>Disposal Package Costs (Ave)</t>
  </si>
  <si>
    <t>ILW Disposal Costs (Ave)</t>
  </si>
  <si>
    <t>LLW Disposal Costs (Ave)</t>
  </si>
  <si>
    <t>DV70 VLLW Disposal Costs (Ave)</t>
  </si>
  <si>
    <t>Total Costs (Ave)</t>
  </si>
  <si>
    <t>Costs £million based on NDA 2007 Macro-economic Study Scenario £/m3 Costs</t>
  </si>
  <si>
    <t>LTIS Package Cost (Min)</t>
  </si>
  <si>
    <t>ILW Disposal Costs (Min)</t>
  </si>
  <si>
    <t>LTIS Package Cost (Max)</t>
  </si>
  <si>
    <t>Disposal Package Costs (Max)</t>
  </si>
  <si>
    <t xml:space="preserve">ILW Disposal Costs (Max) </t>
  </si>
  <si>
    <t>LLW Disposal Costs (Max)</t>
  </si>
  <si>
    <t>NDA Reprocessing</t>
  </si>
  <si>
    <t>NDA Fuel Fabrication</t>
  </si>
  <si>
    <t>NDA Unrichment</t>
  </si>
  <si>
    <r>
      <t>Total metals volume</t>
    </r>
    <r>
      <rPr>
        <b/>
        <vertAlign val="superscript"/>
        <sz val="11"/>
        <color indexed="8"/>
        <rFont val="Helvetica Neue"/>
      </rPr>
      <t>1</t>
    </r>
    <r>
      <rPr>
        <b/>
        <sz val="11"/>
        <color indexed="8"/>
        <rFont val="Helvetica Neue"/>
      </rPr>
      <t xml:space="preserve"> (m</t>
    </r>
    <r>
      <rPr>
        <b/>
        <vertAlign val="superscript"/>
        <sz val="11"/>
        <color indexed="8"/>
        <rFont val="Helvetica Neue"/>
      </rPr>
      <t>3</t>
    </r>
    <r>
      <rPr>
        <b/>
        <sz val="11"/>
        <color indexed="8"/>
        <rFont val="Helvetica Neue"/>
      </rPr>
      <t>)</t>
    </r>
  </si>
  <si>
    <r>
      <t>Total metals volume to 2120 (m</t>
    </r>
    <r>
      <rPr>
        <b/>
        <vertAlign val="superscript"/>
        <sz val="11"/>
        <color indexed="8"/>
        <rFont val="Helvetica Neue"/>
      </rPr>
      <t>3</t>
    </r>
    <r>
      <rPr>
        <b/>
        <sz val="11"/>
        <color indexed="8"/>
        <rFont val="Helvetica Neue"/>
      </rPr>
      <t>)</t>
    </r>
  </si>
  <si>
    <t>Site</t>
  </si>
  <si>
    <t>2010 UKRWI</t>
  </si>
  <si>
    <t>LLWR Consignments</t>
  </si>
  <si>
    <t>Waste Vol (m3)</t>
  </si>
  <si>
    <t>Grouted 3m3 Drum Disposal</t>
  </si>
  <si>
    <t>150 years after start-up</t>
  </si>
  <si>
    <t>50 years after start-up</t>
  </si>
  <si>
    <t>Nieves et al 1995, Steel and Iron Cleanable</t>
  </si>
  <si>
    <t>Nieves et al 1995, Steel and Iron Non-Active (Suspect Activity)</t>
  </si>
  <si>
    <t>Nieves et al 1995, Steel and Iron Activated</t>
  </si>
  <si>
    <t>Unspecified</t>
  </si>
  <si>
    <t>Low Level Waste volumes</t>
  </si>
  <si>
    <t>From Iron and Steel Statistics Bureau (UK Page) 8/4/10</t>
  </si>
  <si>
    <t>Electric Arc</t>
  </si>
  <si>
    <t>Basic Oxygen</t>
  </si>
  <si>
    <t>Production Million tonne</t>
  </si>
  <si>
    <t>Comparison of Material and Process Impacts for Containerised Recycling with Quadrupled Size Reduction and Decontamination</t>
  </si>
  <si>
    <t>June</t>
    <phoneticPr fontId="18" type="noConversion"/>
  </si>
  <si>
    <t>July</t>
    <phoneticPr fontId="18" type="noConversion"/>
  </si>
  <si>
    <t>Sept</t>
    <phoneticPr fontId="18" type="noConversion"/>
  </si>
  <si>
    <t>Oct</t>
    <phoneticPr fontId="18" type="noConversion"/>
  </si>
  <si>
    <t>Average</t>
    <phoneticPr fontId="18" type="noConversion"/>
  </si>
  <si>
    <t>Disposal Cost @ Hanford ERDF</t>
    <phoneticPr fontId="18" type="noConversion"/>
  </si>
  <si>
    <t>£/m3</t>
    <phoneticPr fontId="18" type="noConversion"/>
  </si>
  <si>
    <t>Disposal Cost @ Fernald OSDF</t>
    <phoneticPr fontId="18" type="noConversion"/>
  </si>
  <si>
    <t>£/m3</t>
    <phoneticPr fontId="18" type="noConversion"/>
  </si>
  <si>
    <t>Disposal Cost @ ORR EMWMF</t>
    <phoneticPr fontId="18" type="noConversion"/>
  </si>
  <si>
    <t>£/te</t>
    <phoneticPr fontId="18" type="noConversion"/>
  </si>
  <si>
    <t>x4 Slag Crushing</t>
  </si>
  <si>
    <t>Rosyth Royal Dockyard (KY11  2YD)</t>
  </si>
  <si>
    <t>Torness (EH42 1QS)</t>
  </si>
  <si>
    <t xml:space="preserve">Total </t>
  </si>
  <si>
    <t>Average</t>
  </si>
  <si>
    <t>Median</t>
  </si>
  <si>
    <t>Standard Deviation</t>
  </si>
  <si>
    <t>Drigg Overweight cost (£ per package)</t>
    <phoneticPr fontId="5" type="noConversion"/>
  </si>
  <si>
    <t>48 HHISOs</t>
    <phoneticPr fontId="5" type="noConversion"/>
  </si>
  <si>
    <t>Total LLW and ILW Metal Masses (Million tonnes)</t>
  </si>
  <si>
    <t>Year</t>
  </si>
  <si>
    <t>Eighty</t>
  </si>
  <si>
    <t>Seventy</t>
  </si>
  <si>
    <t>Ninety five</t>
  </si>
  <si>
    <t>Seventy five</t>
  </si>
  <si>
    <t>Unalloyed Steel</t>
  </si>
  <si>
    <t>x10 Specialised Transport</t>
  </si>
  <si>
    <t>Comparison of Material and Process Impacts of Specialised Transport for Direct Disposal (10% Internal Grout , Benotine Backfill)</t>
  </si>
  <si>
    <t>Comparison of Different Backfill Materials</t>
  </si>
  <si>
    <t>Derby Raynesway (DE21 7ZL)</t>
    <phoneticPr fontId="5" type="noConversion"/>
  </si>
  <si>
    <t>Harwell (OX11 0RA)</t>
    <phoneticPr fontId="5" type="noConversion"/>
  </si>
  <si>
    <t>Hunterston B</t>
  </si>
  <si>
    <t>Torness</t>
  </si>
  <si>
    <t>Copper</t>
  </si>
  <si>
    <t>Steel &amp; Iron</t>
  </si>
  <si>
    <t>200l Drums &amp; 4m Box Disposal</t>
  </si>
  <si>
    <t>4m Boxes</t>
  </si>
  <si>
    <t>200l Drums</t>
  </si>
  <si>
    <t>200l Drum &amp; 4m Box Disposal</t>
  </si>
  <si>
    <t>Stainless Steel</t>
  </si>
  <si>
    <t>Sizewell B</t>
  </si>
  <si>
    <t>EDF</t>
  </si>
  <si>
    <t>Torness</t>
    <phoneticPr fontId="18" type="noConversion"/>
  </si>
  <si>
    <t>Trawsfynydd</t>
    <phoneticPr fontId="18" type="noConversion"/>
  </si>
  <si>
    <t>Urenco Capenhurst</t>
    <phoneticPr fontId="18" type="noConversion"/>
  </si>
  <si>
    <t>Various Small Users</t>
    <phoneticPr fontId="18" type="noConversion"/>
  </si>
  <si>
    <t>Windscale</t>
    <phoneticPr fontId="18" type="noConversion"/>
  </si>
  <si>
    <t>Winfrith</t>
    <phoneticPr fontId="18" type="noConversion"/>
  </si>
  <si>
    <t>Wylfa</t>
    <phoneticPr fontId="18" type="noConversion"/>
  </si>
  <si>
    <t>Total</t>
    <phoneticPr fontId="18" type="noConversion"/>
  </si>
  <si>
    <t>Site</t>
    <phoneticPr fontId="18" type="noConversion"/>
  </si>
  <si>
    <t>Trawsfynydd</t>
  </si>
  <si>
    <t>Sizewell A</t>
  </si>
  <si>
    <t>Wylfa</t>
  </si>
  <si>
    <t>Magnox Class</t>
  </si>
  <si>
    <t>Reactor Type</t>
  </si>
  <si>
    <t>AGR</t>
  </si>
  <si>
    <t>PWR</t>
  </si>
  <si>
    <t>(II)</t>
  </si>
  <si>
    <t>(I)</t>
  </si>
  <si>
    <t>(III)</t>
  </si>
  <si>
    <t>Chapelcross</t>
  </si>
  <si>
    <t>Identifier</t>
  </si>
  <si>
    <t>Jan</t>
    <phoneticPr fontId="18" type="noConversion"/>
  </si>
  <si>
    <t>April</t>
    <phoneticPr fontId="18" type="noConversion"/>
  </si>
  <si>
    <t>Aug</t>
    <phoneticPr fontId="18" type="noConversion"/>
  </si>
  <si>
    <t>Nov</t>
    <phoneticPr fontId="18" type="noConversion"/>
  </si>
  <si>
    <t>Dec</t>
    <phoneticPr fontId="18" type="noConversion"/>
  </si>
  <si>
    <t>Springfields (PR4 0XJ)</t>
    <phoneticPr fontId="5" type="noConversion"/>
  </si>
  <si>
    <t>Unalloyed Steel with Electric Steel Off-set</t>
  </si>
  <si>
    <t>Comparison Normalised Impact Category Results for Containerised Recycling with Different Avoided Metals</t>
  </si>
  <si>
    <t>Comparison of Weigted Impacts of  Specialised Transport for Bulk Recycling Excluding Avioded metal Impact</t>
  </si>
  <si>
    <t>Comparison of Material and Process Impacts for Bulk Recycling with Different Recycling Percentages</t>
  </si>
  <si>
    <t>Cost Assumption</t>
    <phoneticPr fontId="18" type="noConversion"/>
  </si>
  <si>
    <t>Units</t>
    <phoneticPr fontId="18" type="noConversion"/>
  </si>
  <si>
    <t>£/te</t>
    <phoneticPr fontId="18" type="noConversion"/>
  </si>
  <si>
    <t>Final Ref Case Medium Voltage + Import</t>
  </si>
  <si>
    <t>High Voltage + Import</t>
  </si>
  <si>
    <t>Low Voltage + Import</t>
  </si>
  <si>
    <t>Comparison Normalised Impact Category Results for Bulk Recycling with Melting Voltage Variation</t>
  </si>
  <si>
    <t>Purchase Costs of Carbon Steel (Hot-rolled)</t>
  </si>
  <si>
    <t>Purchase Cost of Stainless Steel</t>
  </si>
  <si>
    <t>Original value $1/lb</t>
  </si>
  <si>
    <t>Final Ref Case x2 Melting</t>
  </si>
  <si>
    <t>Pig iron Containerised Recycling</t>
  </si>
  <si>
    <t>Original value $200,000 per unit</t>
  </si>
  <si>
    <t>Comparison Weighted Impact Category Results for Bulk Recycling with Double Melting Load</t>
  </si>
  <si>
    <t>ILW Arising Estimates</t>
  </si>
  <si>
    <t>ILW m3/y</t>
  </si>
  <si>
    <t>Waste Scenario Impacts Worst Case</t>
  </si>
  <si>
    <t>Empty Package Impacts Worst Case</t>
  </si>
  <si>
    <t>Empty Package Impacts Best Case</t>
  </si>
  <si>
    <t>Waste Scenario Impacts Best Case</t>
  </si>
  <si>
    <t>Clyde HMNB</t>
    <phoneticPr fontId="18" type="noConversion"/>
  </si>
  <si>
    <t>Hunterston A</t>
    <phoneticPr fontId="18" type="noConversion"/>
  </si>
  <si>
    <t>Hunterston B</t>
    <phoneticPr fontId="18" type="noConversion"/>
  </si>
  <si>
    <t>LLWR</t>
    <phoneticPr fontId="18" type="noConversion"/>
  </si>
  <si>
    <t>MOD Estates</t>
    <phoneticPr fontId="18" type="noConversion"/>
  </si>
  <si>
    <t>Oldbury</t>
    <phoneticPr fontId="18" type="noConversion"/>
  </si>
  <si>
    <t>Roll Royce Derby</t>
    <phoneticPr fontId="18" type="noConversion"/>
  </si>
  <si>
    <t>Clifton Marsh (PR4 0XE)</t>
  </si>
  <si>
    <t>DV70 VLLW Disposal Costs (Max)</t>
  </si>
  <si>
    <t>Total Costs (Max)</t>
  </si>
  <si>
    <t>Costs £million based on Scaling NDA 2007 Macro-economic Study Scenario Costs</t>
  </si>
  <si>
    <t>ILW Disposal Costs (Max)</t>
  </si>
  <si>
    <t>Total Ave.Costs by Vault Volume</t>
  </si>
  <si>
    <t>Total Ave. Costs by £/m3</t>
  </si>
  <si>
    <t>Disposal costs inflated from 2007</t>
  </si>
  <si>
    <t>Product Satge</t>
  </si>
  <si>
    <t>Worst Case Disposal (Pt)</t>
  </si>
  <si>
    <t>Best Case Disposal (Pt)</t>
  </si>
  <si>
    <t>LillyHall Landfill (CA14 4JH)</t>
  </si>
  <si>
    <t>GDF Cumbria (CA20 1PG)</t>
  </si>
  <si>
    <t>Scotland (Unknown)</t>
  </si>
  <si>
    <t>Recycling</t>
  </si>
  <si>
    <t>Studsvik Lillyhall (CA14 4JX)</t>
  </si>
  <si>
    <t>Berkely (GL13 9PA)</t>
  </si>
  <si>
    <t>Total Wastes at April 1, 2007 - Table 4.1, p35</t>
  </si>
  <si>
    <t>HLW</t>
  </si>
  <si>
    <t>ILW</t>
  </si>
  <si>
    <t>LLW</t>
  </si>
  <si>
    <t>Total</t>
  </si>
  <si>
    <t>Volume (m3)</t>
  </si>
  <si>
    <t>Mass (tonne)</t>
  </si>
  <si>
    <t>Mass (tonnes)</t>
  </si>
  <si>
    <t>Metals</t>
  </si>
  <si>
    <t>Organic Solid</t>
  </si>
  <si>
    <t>InorganicSolid</t>
  </si>
  <si>
    <t>Soil</t>
  </si>
  <si>
    <t>Comparison of Weighted Impact Category Results  for Packged Disposal with Quadrupled Decontamination</t>
  </si>
  <si>
    <t>x4 Size Reduction</t>
  </si>
  <si>
    <t>x4 Decontamination</t>
  </si>
  <si>
    <t>VLLW Decontam</t>
  </si>
  <si>
    <t>Respiratory Inorganics</t>
  </si>
  <si>
    <t>Comparison of Normalised Impact Category Results for Containerised Recycling with Quadrupled Size Reduction and Decontamination</t>
  </si>
  <si>
    <t>Maintenance of Permits/Licensing</t>
    <phoneticPr fontId="18" type="noConversion"/>
  </si>
  <si>
    <t>£/year</t>
    <phoneticPr fontId="18" type="noConversion"/>
  </si>
  <si>
    <t>Decommisioning and Dismantling of EAF</t>
    <phoneticPr fontId="18" type="noConversion"/>
  </si>
  <si>
    <t>£/sq.ft</t>
    <phoneticPr fontId="18" type="noConversion"/>
  </si>
  <si>
    <t>Cut into 5-ft pieces</t>
    <phoneticPr fontId="18" type="noConversion"/>
  </si>
  <si>
    <t>Storage Costs</t>
    <phoneticPr fontId="18" type="noConversion"/>
  </si>
  <si>
    <t>£/te-year</t>
    <phoneticPr fontId="18" type="noConversion"/>
  </si>
  <si>
    <t>Operation Cost of MSC Induction Furnace</t>
    <phoneticPr fontId="18" type="noConversion"/>
  </si>
  <si>
    <t>Whole Boilers</t>
    <phoneticPr fontId="5" type="noConversion"/>
  </si>
  <si>
    <t>Min</t>
    <phoneticPr fontId="5" type="noConversion"/>
  </si>
  <si>
    <t>75 HHISOs</t>
    <phoneticPr fontId="5" type="noConversion"/>
  </si>
  <si>
    <t>35 HHISOs</t>
    <phoneticPr fontId="5" type="noConversion"/>
  </si>
  <si>
    <t>Comparison of Normalised Impact Category Results for Containerised Recycling with Quadrupled Slag and Slag Crushing</t>
  </si>
  <si>
    <t>Ninety</t>
  </si>
  <si>
    <t>35 HHISO Ref Case</t>
  </si>
  <si>
    <t>35 HHISO, 4x Decontamination</t>
  </si>
  <si>
    <t>Alternative Source</t>
    <phoneticPr fontId="18" type="noConversion"/>
  </si>
  <si>
    <t>Start year</t>
  </si>
  <si>
    <t>Based on Table A1.1 p72 of 2010 UKRWI</t>
  </si>
  <si>
    <t xml:space="preserve">Selling Price of Scrap Carbon Steel </t>
    <phoneticPr fontId="18" type="noConversion"/>
  </si>
  <si>
    <t>Selling Price of Scrap Stainless Steel</t>
    <phoneticPr fontId="18" type="noConversion"/>
  </si>
  <si>
    <t>General Costs Assumptions from DOE 2001, Exhibit 8-13, p82</t>
    <phoneticPr fontId="18" type="noConversion"/>
  </si>
  <si>
    <t>Decontaminate Scrap Metal</t>
    <phoneticPr fontId="18" type="noConversion"/>
  </si>
  <si>
    <t>Comparison of Normalised Impacts of  Specialised Transport for Direct Disposal (10% Internal Grout , Benotine Backfill)</t>
  </si>
  <si>
    <t>Heysham 1 &amp; 2 (LA3 2XQ &amp; LA3 2XN)</t>
    <phoneticPr fontId="5" type="noConversion"/>
  </si>
  <si>
    <t>Hinkley Point A &amp; B (TA5 1UD)</t>
    <phoneticPr fontId="5" type="noConversion"/>
  </si>
  <si>
    <t>Berkeley</t>
  </si>
  <si>
    <t>Bradwell</t>
  </si>
  <si>
    <t>Hinkley A</t>
  </si>
  <si>
    <t>Hunterston A</t>
  </si>
  <si>
    <t>Dungeness B</t>
  </si>
  <si>
    <t>Dungenss A</t>
  </si>
  <si>
    <t>Oldbury</t>
  </si>
  <si>
    <t>Unspeciifed VLLW</t>
    <phoneticPr fontId="5" type="noConversion"/>
  </si>
  <si>
    <t>Hunterston A &amp; B (KA23 9RA &amp; KA23 9QJ)</t>
    <phoneticPr fontId="5" type="noConversion"/>
  </si>
  <si>
    <t>LLWR (CA19 1XH)</t>
    <phoneticPr fontId="5" type="noConversion"/>
  </si>
  <si>
    <t>Oldbury (BS12 1RQ) Town</t>
    <phoneticPr fontId="5" type="noConversion"/>
  </si>
  <si>
    <t>Rosyth Royal Dockyard (KY11 2YD)</t>
    <phoneticPr fontId="5" type="noConversion"/>
  </si>
  <si>
    <t>Sellafield (CA20 1PG)</t>
    <phoneticPr fontId="5" type="noConversion"/>
  </si>
  <si>
    <t>Sizewell A &amp; B (IP16 4UE &amp; IP16 4UR)</t>
    <phoneticPr fontId="5" type="noConversion"/>
  </si>
  <si>
    <t>Price is pence/litre</t>
    <phoneticPr fontId="18" type="noConversion"/>
  </si>
  <si>
    <t>Percentage metals of total reported (%)</t>
  </si>
  <si>
    <t>Percentage metals of material fraction (%)</t>
  </si>
  <si>
    <t>Used Fuel Skips</t>
  </si>
  <si>
    <t>UKRWI Metals with less than 200Bq/g and adjustments</t>
  </si>
  <si>
    <t>Weighted Results</t>
  </si>
  <si>
    <t>Normalised Results</t>
  </si>
  <si>
    <t>Grouted 4m BoxDisposal</t>
  </si>
  <si>
    <t>Comparison of Material and Process Impacts for Containerised Recycling with Different Avoided Metals</t>
  </si>
  <si>
    <t xml:space="preserve">Pig Iron </t>
  </si>
  <si>
    <t>Electric un- and low-alloyed steel</t>
  </si>
  <si>
    <t>Comparison of Weigted Impacts of  Specialised Transport for Bulk Recycling Including Avioded metal Impact</t>
  </si>
  <si>
    <t>Nickel Processing to Remove Tc-99</t>
    <phoneticPr fontId="18" type="noConversion"/>
  </si>
  <si>
    <t>Comments</t>
    <phoneticPr fontId="18" type="noConversion"/>
  </si>
  <si>
    <t>From 2011 and 2013, LLWR Docs</t>
  </si>
  <si>
    <t>Ave £500, LLWR Docs</t>
  </si>
  <si>
    <t>Auv Arup &amp; CoRWM</t>
  </si>
  <si>
    <t>NDA Doc from CoRWM</t>
  </si>
  <si>
    <t>DOE 2001 &amp; Capenhurst 1994</t>
  </si>
  <si>
    <t>Berkeley Boiler Data</t>
  </si>
  <si>
    <t>From 2011and 2013, LLWR Docs</t>
  </si>
  <si>
    <t>July</t>
  </si>
  <si>
    <t>2013/14</t>
  </si>
  <si>
    <t>January</t>
  </si>
  <si>
    <t>Range of original values, 304SS($1800 to $2000/ton), 316SS($2400 to $2600/ton)</t>
  </si>
  <si>
    <t>Cost Comparison</t>
  </si>
  <si>
    <t>Sellafield Disposal (£m)</t>
  </si>
  <si>
    <t>RSRL Disposal (£m)</t>
  </si>
  <si>
    <t>RSRL Treated Metals (£m)</t>
  </si>
  <si>
    <t>Magnox Disposal (£m)</t>
  </si>
  <si>
    <t>Range of original values, $889 to $1228 per cubic metre</t>
  </si>
  <si>
    <t>Comparison Weighted Impact Category Results for Bulk Recycling with Melting Voltage Variation</t>
  </si>
  <si>
    <t>Country</t>
  </si>
  <si>
    <t>Medium Voltage Impact (Pt)</t>
  </si>
  <si>
    <t>UK</t>
  </si>
  <si>
    <t>LLW Arising Estimates</t>
  </si>
  <si>
    <t>LLW m3/y</t>
  </si>
  <si>
    <t>From</t>
  </si>
  <si>
    <t>Running Total (m3)</t>
  </si>
  <si>
    <t>Pg 39 of 2010 UKRWI</t>
  </si>
  <si>
    <t>Capenhurst decontam for ~27500 to ~31,900 te of scrap metal for £10m, CCDUEF 1996, inflated by 1.68 (BoE)</t>
  </si>
  <si>
    <t>Capenhurst disassembly ~130,000te concrete @£125/te, ~30,000te metals at £679/te for £20m, inflated by 1.68 (BoE)</t>
  </si>
  <si>
    <t>1 From Table 2 of LLWR Ltd and NDA 2011</t>
    <phoneticPr fontId="18" type="noConversion"/>
  </si>
  <si>
    <t>Magnox/Magnesium HLW</t>
  </si>
  <si>
    <t>Aluminium HLW</t>
  </si>
  <si>
    <t>Zircaloy/Zirconium HLW</t>
  </si>
  <si>
    <t>Other metals HLW</t>
  </si>
  <si>
    <t>Ferrous Metals ILW</t>
  </si>
  <si>
    <t>Magnox/Magnesium ILW</t>
  </si>
  <si>
    <t>Aluminium ILW</t>
  </si>
  <si>
    <t>Zircaloy/Zirconium ILW</t>
  </si>
  <si>
    <t>Other metals ILW</t>
  </si>
  <si>
    <t>Ferrous Metals LLW</t>
  </si>
  <si>
    <t>Magnox/Magnesium LLW</t>
  </si>
  <si>
    <t>Aluminium LLW</t>
  </si>
  <si>
    <t>Zircaloy/Zirconium LLW</t>
  </si>
  <si>
    <t>Other metals LLW</t>
  </si>
  <si>
    <t>Comparison of Normalised Impact Category Results  for Packged Disposal with Quadrupled Size Reduction</t>
  </si>
  <si>
    <t>Comparison of Weighted Impact Category Results  for Packged Disposal with Quadrupled Size Reduction</t>
  </si>
  <si>
    <t>Comparison of Material and Process Impacts for Packged Disposal with Quadrupled Decontamination</t>
  </si>
  <si>
    <t>Comparison of Normalised Impact Category Results  for Packged Disposal with Quadrupled Decontamination</t>
  </si>
  <si>
    <t>LLW Decontam</t>
  </si>
  <si>
    <t>Operation of EAF</t>
    <phoneticPr fontId="18" type="noConversion"/>
  </si>
  <si>
    <t>£/year</t>
    <phoneticPr fontId="18" type="noConversion"/>
  </si>
  <si>
    <t>Activity Charge (% of 2011 disposal volume costs)</t>
    <phoneticPr fontId="5" type="noConversion"/>
  </si>
  <si>
    <t xml:space="preserve"> Activity Charge (% of 2013 disposal volume costs)</t>
    <phoneticPr fontId="5" type="noConversion"/>
  </si>
  <si>
    <t>Max</t>
    <phoneticPr fontId="5" type="noConversion"/>
  </si>
  <si>
    <t>&amp; CDDUEF 1996</t>
    <phoneticPr fontId="5" type="noConversion"/>
  </si>
  <si>
    <t>Overall VLLW + LLWDisposal</t>
  </si>
  <si>
    <t>Mass of Boilers (te)</t>
    <phoneticPr fontId="5" type="noConversion"/>
  </si>
  <si>
    <t>VLLW Disposal</t>
  </si>
  <si>
    <t>Process Impacts</t>
  </si>
  <si>
    <t>Magnox Treated Metals (£m)</t>
  </si>
  <si>
    <t>LLWR Ltd Disposal (£m)</t>
  </si>
  <si>
    <t>LLWR Ltd Treated Metals (£m)</t>
  </si>
  <si>
    <t>Sellafield Treated Metals (£m)</t>
  </si>
  <si>
    <t>Savings</t>
  </si>
  <si>
    <t>Sellafield Savings (£m)</t>
  </si>
  <si>
    <t>RSRL Savings (£m)</t>
  </si>
  <si>
    <t>LLW Disposal Cost @ Hanford/NTS/Envirocare (avg)</t>
    <phoneticPr fontId="18" type="noConversion"/>
  </si>
  <si>
    <t>MLLW Disposal Cost @ Hanford/NTS/Envirocare (ave)</t>
    <phoneticPr fontId="18" type="noConversion"/>
  </si>
  <si>
    <t>Retrofitting Existing EAF</t>
    <phoneticPr fontId="18" type="noConversion"/>
  </si>
  <si>
    <t>£</t>
    <phoneticPr fontId="18" type="noConversion"/>
  </si>
  <si>
    <t>Move EAF to Nuclear Site</t>
    <phoneticPr fontId="18" type="noConversion"/>
  </si>
  <si>
    <t>Purchase New EAF</t>
    <phoneticPr fontId="18" type="noConversion"/>
  </si>
  <si>
    <t>Permitting/Licensing</t>
    <phoneticPr fontId="18" type="noConversion"/>
  </si>
  <si>
    <t>Instrumentation to Measure Radioactivity</t>
    <phoneticPr fontId="18" type="noConversion"/>
  </si>
  <si>
    <t>MS LLW</t>
    <phoneticPr fontId="5" type="noConversion"/>
  </si>
  <si>
    <t>MS ILW</t>
    <phoneticPr fontId="5" type="noConversion"/>
  </si>
  <si>
    <t>SS VLLW</t>
    <phoneticPr fontId="5" type="noConversion"/>
  </si>
  <si>
    <t>SS LLW</t>
    <phoneticPr fontId="5" type="noConversion"/>
  </si>
  <si>
    <t>SS ILW</t>
    <phoneticPr fontId="5" type="noConversion"/>
  </si>
  <si>
    <t>Al VLLW</t>
    <phoneticPr fontId="5" type="noConversion"/>
  </si>
  <si>
    <t>AL LLW</t>
    <phoneticPr fontId="5" type="noConversion"/>
  </si>
  <si>
    <t>AL ILW</t>
    <phoneticPr fontId="5" type="noConversion"/>
  </si>
  <si>
    <t>Cu VLLW</t>
    <phoneticPr fontId="5" type="noConversion"/>
  </si>
  <si>
    <t>Cu LLW</t>
    <phoneticPr fontId="5" type="noConversion"/>
  </si>
  <si>
    <t>Cu ILW</t>
    <phoneticPr fontId="5" type="noConversion"/>
  </si>
  <si>
    <t>Pb VLLW</t>
    <phoneticPr fontId="5" type="noConversion"/>
  </si>
  <si>
    <t>Pb LLW</t>
    <phoneticPr fontId="5" type="noConversion"/>
  </si>
  <si>
    <t>Pb ILW</t>
    <phoneticPr fontId="5" type="noConversion"/>
  </si>
  <si>
    <t>International Treatement With Recycling</t>
    <phoneticPr fontId="5" type="noConversion"/>
  </si>
  <si>
    <t>Magnox 2014/15</t>
  </si>
  <si>
    <t>Magnox 2015/16</t>
  </si>
  <si>
    <t>Magnox 2016/17</t>
  </si>
  <si>
    <t>Magnox 2017/18</t>
  </si>
  <si>
    <t>Sellafield 2013/14</t>
  </si>
  <si>
    <t>Comparison of Different Backfill Material Normalised Impact Category Results</t>
  </si>
  <si>
    <t>Comparison of Different Backfill Material Weighted Impact Category Results</t>
  </si>
  <si>
    <t>Bentonite</t>
  </si>
  <si>
    <t>Sand</t>
  </si>
  <si>
    <t>Gravel</t>
  </si>
  <si>
    <t>Clay</t>
  </si>
  <si>
    <t>Comparison of Different Cement Backfill</t>
  </si>
  <si>
    <t xml:space="preserve">Low Density </t>
  </si>
  <si>
    <t>Average Density</t>
  </si>
  <si>
    <t xml:space="preserve">High Density </t>
  </si>
  <si>
    <t>Comparison of Different Cement Backfill Normalised Impact Category Results</t>
  </si>
  <si>
    <t>Comparison of Different Cement Backfill Weighted Impact Category Results</t>
  </si>
  <si>
    <t>Comparison of Material and Process Impacts of Specialised Transport for Bulk Recycling Including Avoided Metal Impact</t>
  </si>
  <si>
    <t>Comparison of Normalised Impacts of  Specialised Transport for Bulk Recycling Excluding Avoided Metal Impact</t>
  </si>
  <si>
    <t>Comparison of Normalised Impacts of  Specialised Transport for Bulk Recycling Including Avoided Metal Impact</t>
  </si>
  <si>
    <t>4mbox</t>
  </si>
  <si>
    <t>Grouted 4m Box Disposal</t>
  </si>
  <si>
    <t>LLW Activity Cost (% of disposal costs)</t>
  </si>
  <si>
    <t>Ave £600, LLWR Docs</t>
  </si>
  <si>
    <t>April</t>
  </si>
  <si>
    <t>May</t>
  </si>
  <si>
    <t>June</t>
  </si>
  <si>
    <t>Variation of Transport Impact with Distance</t>
  </si>
  <si>
    <t>Annual Recycling Rates</t>
  </si>
  <si>
    <t>On site treatment (te)</t>
  </si>
  <si>
    <t>Off site treatment (te)</t>
  </si>
  <si>
    <t>Magnox Savings (£m)</t>
  </si>
  <si>
    <t>Practicable Case Disposal (Pt)</t>
    <phoneticPr fontId="5" type="noConversion"/>
  </si>
  <si>
    <t>Practicable Case Disposal (Pt)</t>
    <phoneticPr fontId="5" type="noConversion"/>
  </si>
  <si>
    <t>MS VLLW</t>
    <phoneticPr fontId="5" type="noConversion"/>
  </si>
  <si>
    <t>This assumes a 6 year operational life, which is short</t>
  </si>
  <si>
    <t>Original value for D&amp;D Cost at Fernald</t>
  </si>
  <si>
    <t>Scrap metal density</t>
  </si>
  <si>
    <t>lb/m3</t>
  </si>
  <si>
    <t>Quantity of dust produced</t>
  </si>
  <si>
    <t>lb/ton of scrap charge</t>
  </si>
  <si>
    <t>Quantity of slag produced</t>
  </si>
  <si>
    <t>lb/ton of liquid steel</t>
  </si>
  <si>
    <t>Whole Boiler Volume (m3 per boiler)</t>
    <phoneticPr fontId="5" type="noConversion"/>
  </si>
  <si>
    <t>Scaling Factor for Whole Boiler Transport</t>
    <phoneticPr fontId="5" type="noConversion"/>
  </si>
  <si>
    <t>QA for Free Release of Scrap Metal</t>
    <phoneticPr fontId="18" type="noConversion"/>
  </si>
  <si>
    <t>LLW Disposal (£/m3 and m3)</t>
  </si>
  <si>
    <t>VLLW Disposal (£/m3 and m3)</t>
  </si>
  <si>
    <t>Difference</t>
  </si>
  <si>
    <t>Devonport HMNB</t>
    <phoneticPr fontId="18" type="noConversion"/>
  </si>
  <si>
    <t>Framework (te)</t>
  </si>
  <si>
    <t>2012/13</t>
  </si>
  <si>
    <t>Sellafield (£/te)</t>
  </si>
  <si>
    <t>RSRL (£/te)</t>
  </si>
  <si>
    <t>Magnox (£/te)</t>
  </si>
  <si>
    <t>LLWR (£/te)</t>
  </si>
  <si>
    <t>Metal Disposal Cost 5 Year Increase</t>
  </si>
  <si>
    <t>Sellafield (£/HHISO)</t>
  </si>
  <si>
    <t>RSRL (£/HHISO)</t>
  </si>
  <si>
    <t>Magnox (£/HHISO)</t>
  </si>
  <si>
    <t>LLWR (£/HHISO)</t>
  </si>
  <si>
    <t>Total Cost (£m)</t>
    <phoneticPr fontId="5" type="noConversion"/>
  </si>
  <si>
    <t>ILW Disposal (£/m3 and m3)</t>
  </si>
  <si>
    <t>Decontamination (£/te)</t>
  </si>
  <si>
    <t>Source</t>
  </si>
  <si>
    <t>Percentage Difference</t>
  </si>
  <si>
    <t>SS 4m boxes</t>
  </si>
  <si>
    <t>MS 4m boxes</t>
  </si>
  <si>
    <t>HHISOs</t>
  </si>
  <si>
    <t>Comparison Normalised Impact Category Results for Containerised Recycling with Double Melting Load</t>
  </si>
  <si>
    <t>Comparison Weighted Impact Category Results for Containerised Recycling with Double Melting Load</t>
  </si>
  <si>
    <t>Comparison of Material and Process Impacts for Packged Disposal with Quadrupled Size Reduction</t>
  </si>
  <si>
    <t>35 HHISO, 4x Size Reduction</t>
  </si>
  <si>
    <t>48 HHISO Ref Case</t>
  </si>
  <si>
    <t>48 HHISO, 4x Size Reduction</t>
  </si>
  <si>
    <t>ILW SS production</t>
  </si>
  <si>
    <t>HHISO production</t>
  </si>
  <si>
    <t>Empty ILW box transport</t>
  </si>
  <si>
    <t>Empty HHISO transport</t>
  </si>
  <si>
    <t>ILW size reduction</t>
  </si>
  <si>
    <t>LLW size reduction</t>
  </si>
  <si>
    <t>VLLW size reduction</t>
  </si>
  <si>
    <t>ILW grout, cap,shielding</t>
  </si>
  <si>
    <t>LLW grout, cap,shielding</t>
  </si>
  <si>
    <t>VLLW grout, cap,shielding</t>
  </si>
  <si>
    <t>Size Reduction (£/te)</t>
    <phoneticPr fontId="5" type="noConversion"/>
  </si>
  <si>
    <t>Decontamination (£/te</t>
    <phoneticPr fontId="5" type="noConversion"/>
  </si>
  <si>
    <t>From DOE 2001 &amp;</t>
    <phoneticPr fontId="5" type="noConversion"/>
  </si>
  <si>
    <t>Recycling UK (AP) %</t>
  </si>
  <si>
    <t>ILW Disposal</t>
  </si>
  <si>
    <t>ILW Decay</t>
  </si>
  <si>
    <t>VLLW Metal</t>
  </si>
  <si>
    <t>Lead</t>
  </si>
  <si>
    <t>Zinc</t>
  </si>
  <si>
    <t>Overall VLLW Disposal</t>
  </si>
  <si>
    <t>ILW Metal</t>
  </si>
  <si>
    <t>Best Case ILW Disposal (Pt)</t>
  </si>
  <si>
    <t>Best Case LLW Disposal (Pt)</t>
  </si>
  <si>
    <t>Generic</t>
  </si>
  <si>
    <t>Nickel</t>
  </si>
  <si>
    <t>Nominal HHISOs</t>
    <phoneticPr fontId="5" type="noConversion"/>
  </si>
  <si>
    <t>Max HHISO</t>
    <phoneticPr fontId="5" type="noConversion"/>
  </si>
  <si>
    <t xml:space="preserve">Min Empty Transport Costs £/mile </t>
    <phoneticPr fontId="5" type="noConversion"/>
  </si>
  <si>
    <t>Max Empty HHISO Transport Costs £/mile</t>
    <phoneticPr fontId="5" type="noConversion"/>
  </si>
  <si>
    <t>Transport Distance (miles)</t>
    <phoneticPr fontId="5" type="noConversion"/>
  </si>
  <si>
    <t>HHISO Cost 2011</t>
    <phoneticPr fontId="5" type="noConversion"/>
  </si>
  <si>
    <t>HHISO Cost 2013</t>
    <phoneticPr fontId="5" type="noConversion"/>
  </si>
  <si>
    <t>LLW Disposal Cost 2011£/m3</t>
    <phoneticPr fontId="5" type="noConversion"/>
  </si>
  <si>
    <t>LLW Disposal Cost 2013</t>
    <phoneticPr fontId="5" type="noConversion"/>
  </si>
  <si>
    <t>Disposal Vol (m3 per HHISO)</t>
    <phoneticPr fontId="5" type="noConversion"/>
  </si>
  <si>
    <t>LLWR Nominal Transport Cost £</t>
    <phoneticPr fontId="5" type="noConversion"/>
  </si>
  <si>
    <t>International Treatment Without Recycling</t>
    <phoneticPr fontId="5" type="noConversion"/>
  </si>
  <si>
    <t>International Treatment With Recycling</t>
    <phoneticPr fontId="5" type="noConversion"/>
  </si>
  <si>
    <t>International Treatment Without Recycling</t>
    <phoneticPr fontId="5" type="noConversion"/>
  </si>
  <si>
    <t>Original value $0.3/lb with 25% discount, Allwood 2010,p2, range £50 to 300/te)</t>
  </si>
  <si>
    <t>Revised LLWR Ltd, WSC-SPR-OVR, V2, 2012</t>
  </si>
  <si>
    <t>Savings (£m)</t>
  </si>
  <si>
    <t>Savings (% of worst case)</t>
  </si>
  <si>
    <t>Planning Norm Packages (Pt)</t>
  </si>
  <si>
    <t>Stainless steel</t>
  </si>
  <si>
    <t>Al</t>
  </si>
  <si>
    <t>Cu</t>
  </si>
  <si>
    <t>Ni</t>
  </si>
  <si>
    <t>Pb</t>
  </si>
  <si>
    <t>Zn</t>
  </si>
  <si>
    <t>Zn VLLW</t>
    <phoneticPr fontId="5" type="noConversion"/>
  </si>
  <si>
    <t>Zn LLW</t>
    <phoneticPr fontId="5" type="noConversion"/>
  </si>
  <si>
    <t xml:space="preserve">Zn ILW </t>
    <phoneticPr fontId="5" type="noConversion"/>
  </si>
  <si>
    <t>Worst Case Pt</t>
    <phoneticPr fontId="5" type="noConversion"/>
  </si>
  <si>
    <t>Sellafield 2014/15</t>
  </si>
  <si>
    <t>Sellafield 2015/16</t>
  </si>
  <si>
    <t>Sellafield 2016/17</t>
  </si>
  <si>
    <t>Sellafield 2017/18</t>
  </si>
  <si>
    <t>Comparison of Normalised Impact Category Results With and Without Recycling Avoided Metal Sweden</t>
  </si>
  <si>
    <t>Comparison of Weighted Impact Category Results With and Without Recycling Avoided Metal Sweden</t>
  </si>
  <si>
    <t>With Avoided Metal Sweden</t>
  </si>
  <si>
    <t>Without Avoided Metal Swden</t>
  </si>
  <si>
    <t>Without Avoided Metal Sweden</t>
  </si>
  <si>
    <t>With Avoided Metal UK</t>
  </si>
  <si>
    <t>Without Avoided Metal UK</t>
  </si>
  <si>
    <t>Comparison of Material and Process Impacts Recycling Without Avoided Metal Sweden and UK</t>
  </si>
  <si>
    <t>Comparison of Material and Process Impacts Recycling With Avoided Metal Sweden and UK</t>
  </si>
  <si>
    <t>Sweden</t>
  </si>
  <si>
    <t>Unspecified LLW</t>
    <phoneticPr fontId="5" type="noConversion"/>
  </si>
  <si>
    <t>Unspecified ILW</t>
    <phoneticPr fontId="5" type="noConversion"/>
  </si>
  <si>
    <t>Comparison of Weigted Impacts of  Specialised Transport for Direct Disposal (10% Internal Grout , Benotine Backfill)</t>
  </si>
  <si>
    <t>x4 Specialised Transport</t>
  </si>
  <si>
    <t>Impact (Pt)</t>
  </si>
  <si>
    <t>Distance (km)</t>
  </si>
  <si>
    <t>Comparison of Material and Process Impacts of Specialised Transport for Bulk Recycling Excluding Avoided Metal Impact</t>
  </si>
  <si>
    <t>DOE 2001, Capenhurst 1994</t>
  </si>
  <si>
    <t>Activity Cost (% of disposal</t>
  </si>
  <si>
    <t>Interim Storage Package Impact</t>
  </si>
  <si>
    <t>Worst Case Disposal (Pt)</t>
    <phoneticPr fontId="5" type="noConversion"/>
  </si>
  <si>
    <t>Baseline Disposal (%)</t>
  </si>
  <si>
    <t xml:space="preserve">NSD as ILW Disposal </t>
  </si>
  <si>
    <t>Was £1735 in 2011, Activity charges, package charges and tranport costs need to be added to this</t>
  </si>
  <si>
    <t>Range of values £300 - £700/m3 depending on activity levels, unchanged 2012</t>
  </si>
  <si>
    <t>Dashboard Monthly Results</t>
  </si>
  <si>
    <t>2011 to 2012</t>
  </si>
  <si>
    <t>August</t>
  </si>
  <si>
    <t>September</t>
  </si>
  <si>
    <t>October</t>
  </si>
  <si>
    <t>November</t>
  </si>
  <si>
    <t>December</t>
  </si>
  <si>
    <t xml:space="preserve">January </t>
  </si>
  <si>
    <t>February</t>
  </si>
  <si>
    <t>March</t>
  </si>
  <si>
    <t>Sellafield (te)</t>
  </si>
  <si>
    <t>Magnox (te)</t>
  </si>
  <si>
    <t>RSRL (te)</t>
  </si>
  <si>
    <t>210l drum transport</t>
  </si>
  <si>
    <t>ILW SS box production</t>
  </si>
  <si>
    <t>ILW MS box production</t>
  </si>
  <si>
    <t>VLLW 210l drum production</t>
  </si>
  <si>
    <t>LLW HHISO production</t>
  </si>
  <si>
    <t>Worst Case Impact (%)</t>
  </si>
  <si>
    <t>Best Case Impact (% of Worst Case)</t>
  </si>
  <si>
    <t>Worst Case LAW (% )</t>
  </si>
  <si>
    <t>Best Case LAW (% of Worst Case)</t>
  </si>
  <si>
    <t>LLWR Ltd Savings (£m)</t>
  </si>
  <si>
    <t>Example of Treatment Costs</t>
  </si>
  <si>
    <t>Metal Treatment Norm</t>
  </si>
  <si>
    <t>Whole Boilers</t>
    <phoneticPr fontId="5" type="noConversion"/>
  </si>
  <si>
    <t>Best VLLW</t>
  </si>
  <si>
    <t>Best LLW</t>
  </si>
  <si>
    <t>Best ILW</t>
  </si>
  <si>
    <t>Comparison of Material and Process Impacts With and Without Recycling Avoided Metal Sweden</t>
  </si>
  <si>
    <t>3m3 Drums</t>
  </si>
  <si>
    <t>3m3 drums</t>
  </si>
  <si>
    <t>Long Term Interim Storage then Disposal at NSDF</t>
  </si>
  <si>
    <t>Totals ILW</t>
  </si>
  <si>
    <t>Totals LLW</t>
  </si>
  <si>
    <t>Totals LLW CS packages</t>
  </si>
  <si>
    <t>LTIS Package Impact</t>
  </si>
  <si>
    <t>Overpack Impact</t>
  </si>
  <si>
    <t>ILW Disposal (SS Overpacks)</t>
  </si>
  <si>
    <t>LLW Disposal (SS Overpacks)</t>
  </si>
  <si>
    <t>LLW Disposal (CS Overpacks)</t>
  </si>
  <si>
    <t>Total Impact</t>
  </si>
  <si>
    <t xml:space="preserve">LTIS Overpacked as ILW Disposal </t>
  </si>
  <si>
    <t>LTIS Overpacked as ILW Disposal</t>
  </si>
  <si>
    <t>Comparison of Material and Process Impacts for All International Facilities WITHOUT Avoided Metal</t>
  </si>
  <si>
    <t>Comparison of Normalised Impact Category Results for All International Facilities WITHOUT Avoided Metal</t>
  </si>
  <si>
    <t>Comparison of Weighted Impact Category Results for All International Facilities WITHOUT Avoided Metal</t>
  </si>
  <si>
    <t>Number</t>
  </si>
  <si>
    <t>Full 210l Drum Transport (8 to a pallet)</t>
    <phoneticPr fontId="18" type="noConversion"/>
  </si>
  <si>
    <t>ILW Sub Total</t>
    <phoneticPr fontId="18" type="noConversion"/>
  </si>
  <si>
    <t>VLLW Sub Total</t>
    <phoneticPr fontId="18" type="noConversion"/>
  </si>
  <si>
    <t>LLW Sub Total</t>
    <phoneticPr fontId="18" type="noConversion"/>
  </si>
  <si>
    <t>VLLW as LLW Sub Total</t>
    <phoneticPr fontId="18" type="noConversion"/>
  </si>
  <si>
    <t>Operation Cost of Siempelkamp Carla Induction Furnace</t>
  </si>
  <si>
    <t>Practicable Case Disposal (Pt)</t>
  </si>
  <si>
    <t>Net VLLW and LLW Metal</t>
  </si>
  <si>
    <t>Min HHISO</t>
    <phoneticPr fontId="5" type="noConversion"/>
  </si>
  <si>
    <t>HHISOs (LLW)</t>
  </si>
  <si>
    <t>Drums 210l (VLLW)</t>
  </si>
  <si>
    <t>ILW to LLW</t>
  </si>
  <si>
    <t>Drums 210l</t>
  </si>
  <si>
    <t>Practicable Case Disposal (%)</t>
  </si>
  <si>
    <t>DOE Range of original values, $360 to $400/ton Range from Allwood 2010.p2, £400 to £750/te)</t>
  </si>
  <si>
    <t>DOE Original value $90/ton with 25% discount, Allwood 2010,p2 range £50 to £300/e)</t>
  </si>
  <si>
    <t>20te/HHISO</t>
  </si>
  <si>
    <t>15te/HHISO</t>
  </si>
  <si>
    <t>10te/HHISO</t>
  </si>
  <si>
    <t>Whole Boilers</t>
  </si>
  <si>
    <t>Range of values £2000-£4500/te depending on metal type, treatment and contamination levels.</t>
  </si>
  <si>
    <t>Based on Worst Case</t>
  </si>
  <si>
    <r>
      <t>3m</t>
    </r>
    <r>
      <rPr>
        <vertAlign val="superscript"/>
        <sz val="10"/>
        <color indexed="8"/>
        <rFont val="Helvetica Neue"/>
      </rPr>
      <t>3</t>
    </r>
    <r>
      <rPr>
        <sz val="10"/>
        <color indexed="8"/>
        <rFont val="Helvetica Neue"/>
      </rPr>
      <t xml:space="preserve"> Drums</t>
    </r>
  </si>
  <si>
    <t>Planning Norm Waste (Pt)</t>
  </si>
  <si>
    <t>Cost Breakdown (£)</t>
  </si>
  <si>
    <t>Total Cost (£)</t>
  </si>
  <si>
    <t>Worst Case %</t>
    <phoneticPr fontId="5" type="noConversion"/>
  </si>
  <si>
    <t>Practicable Case Pt</t>
    <phoneticPr fontId="5" type="noConversion"/>
  </si>
  <si>
    <t>Practicable Case %</t>
    <phoneticPr fontId="5" type="noConversion"/>
  </si>
  <si>
    <t>Best Case Pt</t>
    <phoneticPr fontId="5" type="noConversion"/>
  </si>
  <si>
    <t>Best Case %</t>
    <phoneticPr fontId="5" type="noConversion"/>
  </si>
  <si>
    <t>Ni VLLW</t>
    <phoneticPr fontId="5" type="noConversion"/>
  </si>
  <si>
    <t>Ni LLW</t>
    <phoneticPr fontId="5" type="noConversion"/>
  </si>
  <si>
    <t>Ni ILW</t>
    <phoneticPr fontId="5" type="noConversion"/>
  </si>
  <si>
    <t>Total</t>
    <phoneticPr fontId="5" type="noConversion"/>
  </si>
  <si>
    <t>Drums, 210l</t>
  </si>
  <si>
    <t>Target Worst Case (%)</t>
  </si>
  <si>
    <t>15te</t>
  </si>
  <si>
    <t>21te</t>
  </si>
  <si>
    <t>10te</t>
  </si>
  <si>
    <t>Disposal 10te/HHISO</t>
  </si>
  <si>
    <t>Disposal 15te/HHISO</t>
  </si>
  <si>
    <t>Disposal 21te/HHISO</t>
  </si>
  <si>
    <t>RSRL 2014/15</t>
  </si>
  <si>
    <t>RSRL 2013/14</t>
  </si>
  <si>
    <t>RSRL 2015/16</t>
  </si>
  <si>
    <t>RSRL 2017/18</t>
  </si>
  <si>
    <t>RSRL 2016/17</t>
  </si>
  <si>
    <t>Magnox 2013/14</t>
  </si>
  <si>
    <t>Comparison of Weighted Impact Category Results Recycling With Avoided Metal Sweden and UK</t>
  </si>
  <si>
    <t>France</t>
  </si>
  <si>
    <t>Germany</t>
  </si>
  <si>
    <t>Russian Federation</t>
  </si>
  <si>
    <t>USA</t>
  </si>
  <si>
    <t xml:space="preserve"> USA</t>
  </si>
  <si>
    <t>Comparison of Boiler Internal Volume Grouting</t>
  </si>
  <si>
    <t xml:space="preserve">Comparison of Boiler Internal Grouting Normalised Impact Category Results </t>
  </si>
  <si>
    <t>LLW Size Reduction</t>
  </si>
  <si>
    <t>ILW Size Reduction</t>
  </si>
  <si>
    <t>VLLW Decontamination</t>
  </si>
  <si>
    <t>ILW Decontamination</t>
  </si>
  <si>
    <t>VLLW Mass (te)</t>
  </si>
  <si>
    <t>Drum 210l Transport Costs (£/trip for 8 to a pallet)</t>
  </si>
  <si>
    <t>4m box Transport (£/trip)</t>
  </si>
  <si>
    <t>From internet</t>
  </si>
  <si>
    <t>HHISO costs</t>
  </si>
  <si>
    <t>Min of HHISO, 1 or 2 trips</t>
  </si>
  <si>
    <t>As HHISO European trip</t>
  </si>
  <si>
    <t>Basic Cost Data</t>
  </si>
  <si>
    <t>Best UK Recycling (No Avoided Product)</t>
  </si>
  <si>
    <t>Best UK Recycling (With Avoided Product)</t>
  </si>
  <si>
    <t>HHISO/Liner Disposal</t>
  </si>
  <si>
    <t>HHISO/Liner</t>
  </si>
  <si>
    <t>Best International Recycling (No Avoided Product)</t>
  </si>
  <si>
    <t>Comparison of Normalised Impact Category Results Recycling With Avoided Metal Sweden and UK</t>
  </si>
  <si>
    <t>Comparison of Normalised Impact Category Results Recycling Without Avoided Metal Sweden and UK</t>
  </si>
  <si>
    <t>ILW box transport</t>
  </si>
  <si>
    <t>LLW HHISO transport</t>
  </si>
  <si>
    <t>LLW grout, cap &amp; shielding</t>
  </si>
  <si>
    <t>ILW grout, cap &amp; shielding</t>
  </si>
  <si>
    <t>VLLW grout, cap &amp; shielding</t>
  </si>
  <si>
    <t>Worst Case VLLW (% )</t>
  </si>
  <si>
    <t>Best Case VLLW (% of Worst Case)</t>
  </si>
  <si>
    <t>ILW Package Production</t>
  </si>
  <si>
    <t>LAW Package Production</t>
  </si>
  <si>
    <t>ILW Package Transport</t>
  </si>
  <si>
    <t>LAW Package Transport</t>
  </si>
  <si>
    <t>LAW Size Reduction</t>
  </si>
  <si>
    <t>LAW Decontamination</t>
  </si>
  <si>
    <t>For 779te of Magnox JWMP Benefits</t>
  </si>
  <si>
    <t>Empty Transport</t>
  </si>
  <si>
    <t>Full Transport</t>
  </si>
  <si>
    <t>Percentage</t>
  </si>
  <si>
    <t>Life Cycle from Baseline Tree</t>
  </si>
  <si>
    <t>500L Drums</t>
  </si>
  <si>
    <t>Drum Stillages</t>
  </si>
  <si>
    <t>Disposal Package Impact</t>
  </si>
  <si>
    <t>Baseline Disposal</t>
  </si>
  <si>
    <t>NSD as ILW Disposal</t>
  </si>
  <si>
    <t>Containers</t>
  </si>
  <si>
    <t>Container Disposal</t>
  </si>
  <si>
    <t>Example of Disposal Costs</t>
  </si>
  <si>
    <t>Disposal Volume</t>
  </si>
  <si>
    <t>Container</t>
  </si>
  <si>
    <t>Activity Surcharge</t>
  </si>
  <si>
    <t>Transport</t>
  </si>
  <si>
    <t>Metal Treatment Cost 5 Year Increase</t>
  </si>
  <si>
    <t>Comparison of Normalised Impact Category Results for All International Facilities WITH Avoided Metal</t>
  </si>
  <si>
    <t>Comparison of Weighted Impact Category Results for All International Facilities WITH Avoided Metal</t>
  </si>
  <si>
    <t>Empty 210litre drum trans*</t>
  </si>
  <si>
    <t>ILW Decontam*</t>
  </si>
  <si>
    <t>Worst Case Disposal (%)</t>
  </si>
  <si>
    <t>Best Case Disposal (% of Worst Case)</t>
  </si>
  <si>
    <t>Improvement (% of Worst Case)</t>
  </si>
  <si>
    <t>Best Case ILW Disposal Reduction (% Of Worst Case)</t>
  </si>
  <si>
    <t>Best Case LLW Disposal Increase (% of Worst Case)</t>
  </si>
  <si>
    <t>Acidification &amp; Eutrophication</t>
  </si>
  <si>
    <t>Land Use</t>
  </si>
  <si>
    <t>Bulk Recycling L.A</t>
  </si>
  <si>
    <t>Model Costs ($, in 2000)</t>
  </si>
  <si>
    <t>Worst Case</t>
  </si>
  <si>
    <t>Recycling UK NAP</t>
  </si>
  <si>
    <t>Recycling UK AP</t>
  </si>
  <si>
    <t>Recycling International NAP</t>
  </si>
  <si>
    <t>Recycling International AP</t>
  </si>
  <si>
    <t>Worst Case (%)</t>
  </si>
  <si>
    <t>Best Case (% of Worst Case)</t>
  </si>
  <si>
    <t>Empty Package Impacts Worst Case (%)</t>
  </si>
  <si>
    <t>Waste Scenario Impacts Worst Case (%)</t>
  </si>
  <si>
    <t>Empty Package Impacts Best Case (%)</t>
  </si>
  <si>
    <t>Operation Cost of Studsvic Nukoping Induction Furnace</t>
  </si>
  <si>
    <t>Operation Cost of SOCODIE Marcoule Induction Furnace</t>
  </si>
  <si>
    <t>Original value $3.5/lb, this is presumed to be the same as the Energy Solitions Bear Creek plant</t>
  </si>
  <si>
    <t>Recycling Costs form LLW Repository website documentation</t>
  </si>
  <si>
    <t>LLWR Ltd, WSC-SPR-OVR, V2, 2011</t>
  </si>
  <si>
    <t>LLW Disposal Cost at LLW Repository, near Drigg</t>
  </si>
  <si>
    <t>LLW/VLLW Disposal to Landfill</t>
  </si>
  <si>
    <t>£/m3</t>
  </si>
  <si>
    <t>Specific Cost (£/Tonne)</t>
  </si>
  <si>
    <t>Target Worst Case Packages (Pt)</t>
  </si>
  <si>
    <t>Target Worst Case Waste (Pt)</t>
  </si>
  <si>
    <t>Best Case Packages (Pt)</t>
  </si>
  <si>
    <t>Best Case Waste (Pt)</t>
  </si>
  <si>
    <t>Target Worst Case Disposal (%)</t>
  </si>
  <si>
    <t>Target Worst Case LAW (% )</t>
  </si>
  <si>
    <t>Target Worst Case ILW (%)</t>
  </si>
  <si>
    <t>60% Volume</t>
  </si>
  <si>
    <t>40% Volume</t>
  </si>
  <si>
    <t>Comparison of LLW Disposal Volume Impacts</t>
  </si>
  <si>
    <t>20% Volume</t>
  </si>
  <si>
    <t>LLW Disposal</t>
  </si>
  <si>
    <t>HLW Disposal</t>
  </si>
  <si>
    <t>Interim Storage</t>
  </si>
  <si>
    <t>Comparison of Storage and Disposal Facility Impacts</t>
  </si>
  <si>
    <t>Comparison of Storage and Disposal Facility Normalised Impact Category Results</t>
  </si>
  <si>
    <t>Comparison of LLW Disposal Volume Weighted Impact Category Results</t>
  </si>
  <si>
    <t>Double Backfill</t>
  </si>
  <si>
    <t xml:space="preserve">Comparison of Boiler Backfill Weighted Impact Category Results </t>
  </si>
  <si>
    <t>Landfill Disposal</t>
  </si>
  <si>
    <t>Comparison of Disposal Facility Impacts</t>
  </si>
  <si>
    <t xml:space="preserve">Comparison of Disposal Facility Normalised Impact Category Results </t>
  </si>
  <si>
    <t xml:space="preserve">Comparison of Disposal Facility Weighted Impact Category Results </t>
  </si>
  <si>
    <t>Note</t>
  </si>
  <si>
    <t>LLW Decontamination</t>
  </si>
  <si>
    <t>Minor Waste Produces</t>
  </si>
  <si>
    <t>NDA Research</t>
  </si>
  <si>
    <t>Sub Total</t>
  </si>
  <si>
    <t>LLW Mass (te)</t>
  </si>
  <si>
    <t>Full MS 4mbox Transport</t>
  </si>
  <si>
    <t>Worst Case Disposal</t>
  </si>
  <si>
    <t>Best Case Disposal</t>
  </si>
  <si>
    <t>Recycling, UK, Limited Mleting (AFM)(% of Worst Case)</t>
  </si>
  <si>
    <t>Boiler Transport</t>
  </si>
  <si>
    <t>Backfill - Bentonite</t>
  </si>
  <si>
    <t>Disposal</t>
  </si>
  <si>
    <t>Process Stage*</t>
  </si>
  <si>
    <t>ILW Mass (te)</t>
  </si>
  <si>
    <t>Size Reduction (£/te)</t>
  </si>
  <si>
    <t>VLLW Size Reduction</t>
  </si>
  <si>
    <t>Ozone Layer</t>
  </si>
  <si>
    <t>Respiratory Inorgancis</t>
  </si>
  <si>
    <t>Climate Change</t>
  </si>
  <si>
    <t>2F14</t>
  </si>
  <si>
    <t>Mild Steel</t>
  </si>
  <si>
    <t>Material</t>
  </si>
  <si>
    <t>Best International Recycling (With Avoided Product)</t>
  </si>
  <si>
    <t>% Worst Case Disposal</t>
  </si>
  <si>
    <t>Empty HHISO</t>
  </si>
  <si>
    <t>Empty HHISO Transport</t>
  </si>
  <si>
    <t>Worst Case Maximum</t>
  </si>
  <si>
    <t>Worst Case Minimum</t>
  </si>
  <si>
    <t xml:space="preserve">Empty 210l Drum </t>
  </si>
  <si>
    <t>Best Case Minimum</t>
  </si>
  <si>
    <t>Best Case maximum</t>
  </si>
  <si>
    <t>£m</t>
  </si>
  <si>
    <t>Empty 210l Drum Transport (8 to a pallet)</t>
  </si>
  <si>
    <t>Empty SS 4mbox</t>
  </si>
  <si>
    <t>Empty MS 4mbox</t>
  </si>
  <si>
    <t>Empty SS 4mbox Transport</t>
  </si>
  <si>
    <t>Empty MS 4mbox Transport</t>
  </si>
  <si>
    <t>ILW Disposal no Decay</t>
  </si>
  <si>
    <t>ILW Disposal Decayed</t>
  </si>
  <si>
    <t>Worst Case ILW (%)</t>
  </si>
  <si>
    <t>Best Case ILW (% of Worst Case)</t>
  </si>
  <si>
    <t>ILW Grouting etc</t>
  </si>
  <si>
    <t>LAW Grouting etc</t>
  </si>
  <si>
    <t>LAW Transport</t>
  </si>
  <si>
    <t>ILW Transport</t>
  </si>
  <si>
    <t>Comparison of Material and Process Impacts for All International Facilities WITH Avoided Metal</t>
  </si>
  <si>
    <t>Average Hierarchist Weighting</t>
  </si>
  <si>
    <t>Product Stage</t>
  </si>
  <si>
    <t>EI99 H/A Weighted Results</t>
  </si>
  <si>
    <t>EI99 H/A Normalised Results</t>
  </si>
  <si>
    <t>Containerised Recycling Average UK</t>
  </si>
  <si>
    <t>2 The initial production proxy was simply a 10% mass allowance to represent  production</t>
  </si>
  <si>
    <t>3 This initially assumed a 28te Swiss Average lorry, later replaced with 32te European lorry</t>
  </si>
  <si>
    <t>Grout</t>
  </si>
  <si>
    <t>35 HHISOs from Drigg</t>
  </si>
  <si>
    <t>48 HHISOs from Drigg</t>
  </si>
  <si>
    <t>75 HHISOs from Drigg</t>
  </si>
  <si>
    <t>1 This assumes a 32te European lorry</t>
  </si>
  <si>
    <t>Comparison of Number of HHISOs</t>
  </si>
  <si>
    <t>Model Costs (£, in 2000)</t>
  </si>
  <si>
    <t>Model Costs (£, in 2012)</t>
  </si>
  <si>
    <t>Recycling UK (NAP) %</t>
  </si>
  <si>
    <t>90% Mild Steel, 10% Al</t>
  </si>
  <si>
    <t>Ecotoxicity</t>
  </si>
  <si>
    <t>Childs 1972 p93</t>
  </si>
  <si>
    <t>Metals to Sellafield tkm</t>
  </si>
  <si>
    <t>Minerals</t>
  </si>
  <si>
    <t>Fossil Fuels</t>
  </si>
  <si>
    <t>(A)- (D) Metals mass (te) for  &lt;200Bq/g to 2026</t>
  </si>
  <si>
    <t>4The disposal impact and grout impact now split to allow alternative grout densities to be modelled</t>
  </si>
  <si>
    <t>35  HHISOs from Drigg</t>
  </si>
  <si>
    <t>Sellafield AGR</t>
  </si>
  <si>
    <t>Wylfa (LL67 0DH)</t>
    <phoneticPr fontId="5" type="noConversion"/>
  </si>
  <si>
    <t>HLW mass (tonnes)</t>
  </si>
  <si>
    <t>ILW mass (tonnes)</t>
  </si>
  <si>
    <t>LLW mass (tonnes)</t>
  </si>
  <si>
    <t>Ferrous Metals</t>
  </si>
  <si>
    <t>Radioactive waste metals from all sources</t>
  </si>
  <si>
    <t>Waste Scenario Impacts Best Case (%)</t>
  </si>
  <si>
    <t>Total (%)</t>
  </si>
  <si>
    <t>Eco-Indicator 99 Impact (Pt)</t>
  </si>
  <si>
    <t>ILW MS production*</t>
  </si>
  <si>
    <t>Drum 210litre production*</t>
  </si>
  <si>
    <t>Package cost</t>
  </si>
  <si>
    <t>Empty Package Transport Costs</t>
  </si>
  <si>
    <t>Full Package Transport Cost</t>
  </si>
  <si>
    <t>Activity Charge</t>
  </si>
  <si>
    <t>Disposal Volume Cost</t>
  </si>
  <si>
    <t>Overweight Supplement</t>
    <phoneticPr fontId="5" type="noConversion"/>
  </si>
  <si>
    <t xml:space="preserve">Process Stage </t>
  </si>
  <si>
    <t xml:space="preserve">Overall Life Cycle </t>
  </si>
  <si>
    <t>Comparison of Normalised Impact Category Results for Different HHISO Production Processes</t>
  </si>
  <si>
    <t>35 HHISOs from Manufacturer</t>
  </si>
  <si>
    <t>35 HHISOs from Drigg, Ave. Steel Working</t>
  </si>
</sst>
</file>

<file path=xl/styles.xml><?xml version="1.0" encoding="utf-8"?>
<styleSheet xmlns="http://schemas.openxmlformats.org/spreadsheetml/2006/main">
  <numFmts count="6">
    <numFmt numFmtId="164" formatCode="0.0"/>
    <numFmt numFmtId="165" formatCode="0.000"/>
    <numFmt numFmtId="166" formatCode="#,##0_ ;\-#,##0\ "/>
    <numFmt numFmtId="167" formatCode="#,##0.0"/>
    <numFmt numFmtId="168" formatCode="#,##0.000"/>
    <numFmt numFmtId="169" formatCode="0.0000E+00"/>
  </numFmts>
  <fonts count="78"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 Bold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8"/>
      <name val="Helvetica Neue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Helvetica Neue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53"/>
      <name val="Arial"/>
      <family val="2"/>
    </font>
    <font>
      <b/>
      <sz val="10"/>
      <color indexed="9"/>
      <name val="Arial"/>
      <family val="2"/>
    </font>
    <font>
      <b/>
      <sz val="11"/>
      <color indexed="9"/>
      <name val="Helvetica Neue"/>
    </font>
    <font>
      <sz val="8"/>
      <name val="Verdana"/>
    </font>
    <font>
      <b/>
      <sz val="11"/>
      <color indexed="8"/>
      <name val="Helvetica Neue"/>
    </font>
    <font>
      <sz val="11"/>
      <color indexed="12"/>
      <name val="Helvetica Neue"/>
    </font>
    <font>
      <b/>
      <vertAlign val="superscript"/>
      <sz val="11"/>
      <color indexed="8"/>
      <name val="Helvetica Neue"/>
    </font>
    <font>
      <vertAlign val="superscript"/>
      <sz val="11"/>
      <color indexed="8"/>
      <name val="Helvetica Neue"/>
    </font>
    <font>
      <sz val="11"/>
      <color indexed="13"/>
      <name val="Helvetica Neue"/>
    </font>
    <font>
      <vertAlign val="superscript"/>
      <sz val="11"/>
      <color indexed="13"/>
      <name val="Helvetica Neue"/>
    </font>
    <font>
      <b/>
      <sz val="11"/>
      <color indexed="13"/>
      <name val="Helvetica Neue"/>
    </font>
    <font>
      <sz val="11"/>
      <color indexed="57"/>
      <name val="Helvetica Neue"/>
    </font>
    <font>
      <sz val="8"/>
      <color indexed="8"/>
      <name val="Helvetica Neue"/>
    </font>
    <font>
      <sz val="11"/>
      <color indexed="8"/>
      <name val="Helvetica Neue"/>
    </font>
    <font>
      <b/>
      <sz val="11"/>
      <color indexed="12"/>
      <name val="Helvetica Neue"/>
    </font>
    <font>
      <b/>
      <sz val="11"/>
      <color indexed="48"/>
      <name val="Helvetica Neue"/>
    </font>
    <font>
      <sz val="10"/>
      <color indexed="8"/>
      <name val="Times New Roman"/>
      <family val="1"/>
    </font>
    <font>
      <b/>
      <sz val="10"/>
      <color indexed="4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Helvetica Neue"/>
    </font>
    <font>
      <b/>
      <sz val="10"/>
      <color indexed="53"/>
      <name val="Times New Roman"/>
      <family val="1"/>
    </font>
    <font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12"/>
      <name val="Times New Roman"/>
      <family val="1"/>
    </font>
    <font>
      <b/>
      <sz val="18"/>
      <color indexed="8"/>
      <name val="Helvetica Neue"/>
    </font>
    <font>
      <b/>
      <sz val="11"/>
      <color indexed="16"/>
      <name val="Helvetica Neue"/>
    </font>
    <font>
      <sz val="11"/>
      <color indexed="16"/>
      <name val="Helvetica Neue"/>
    </font>
    <font>
      <sz val="11"/>
      <color indexed="8"/>
      <name val="Times New Roman"/>
      <family val="1"/>
    </font>
    <font>
      <b/>
      <sz val="10"/>
      <color indexed="8"/>
      <name val="Helvetica Neue"/>
    </font>
    <font>
      <sz val="10"/>
      <color indexed="9"/>
      <name val="Arial"/>
      <family val="2"/>
    </font>
    <font>
      <sz val="10"/>
      <color indexed="12"/>
      <name val="Times New Roman"/>
      <family val="1"/>
    </font>
    <font>
      <sz val="10"/>
      <color indexed="48"/>
      <name val="Times New Roman"/>
      <family val="1"/>
    </font>
    <font>
      <sz val="10"/>
      <color indexed="48"/>
      <name val="Helvetica Neue"/>
    </font>
    <font>
      <b/>
      <sz val="10"/>
      <color indexed="57"/>
      <name val="Times New Roman"/>
      <family val="1"/>
    </font>
    <font>
      <sz val="10"/>
      <color indexed="8"/>
      <name val="Times New Roman"/>
      <family val="1"/>
    </font>
    <font>
      <b/>
      <sz val="10"/>
      <color indexed="57"/>
      <name val="Times New Roman"/>
      <family val="1"/>
    </font>
    <font>
      <sz val="8"/>
      <color indexed="12"/>
      <name val="Times New Roman"/>
      <family val="1"/>
    </font>
    <font>
      <sz val="8"/>
      <color indexed="12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16"/>
      <name val="Times New Roman"/>
      <family val="1"/>
    </font>
    <font>
      <sz val="10"/>
      <color indexed="9"/>
      <name val="Times New Roman"/>
      <family val="1"/>
    </font>
    <font>
      <sz val="11"/>
      <color indexed="9"/>
      <name val="Times New Roman"/>
      <family val="1"/>
    </font>
    <font>
      <vertAlign val="superscript"/>
      <sz val="10"/>
      <color indexed="8"/>
      <name val="Helvetica Neue"/>
    </font>
    <font>
      <sz val="10"/>
      <color indexed="9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36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i/>
      <sz val="11"/>
      <color indexed="55"/>
      <name val="Calibri"/>
      <family val="2"/>
    </font>
    <font>
      <sz val="11"/>
      <color indexed="5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4"/>
      </patternFill>
    </fill>
    <fill>
      <patternFill patternType="solid">
        <fgColor indexed="31"/>
      </patternFill>
    </fill>
    <fill>
      <patternFill patternType="solid">
        <fgColor indexed="13"/>
      </patternFill>
    </fill>
    <fill>
      <patternFill patternType="solid">
        <fgColor indexed="22"/>
      </patternFill>
    </fill>
    <fill>
      <patternFill patternType="solid">
        <fgColor indexed="32"/>
      </patternFill>
    </fill>
    <fill>
      <patternFill patternType="solid">
        <fgColor indexed="23"/>
      </patternFill>
    </fill>
    <fill>
      <patternFill patternType="solid">
        <fgColor indexed="11"/>
      </patternFill>
    </fill>
    <fill>
      <patternFill patternType="solid">
        <fgColor indexed="49"/>
      </patternFill>
    </fill>
    <fill>
      <patternFill patternType="solid">
        <fgColor indexed="12"/>
      </patternFill>
    </fill>
    <fill>
      <patternFill patternType="solid">
        <fgColor indexed="27"/>
      </patternFill>
    </fill>
    <fill>
      <patternFill patternType="solid">
        <fgColor indexed="25"/>
      </patternFill>
    </fill>
    <fill>
      <patternFill patternType="solid">
        <fgColor indexed="33"/>
      </patternFill>
    </fill>
    <fill>
      <patternFill patternType="solid">
        <fgColor indexed="28"/>
      </patternFill>
    </fill>
    <fill>
      <patternFill patternType="solid">
        <fgColor indexed="19"/>
      </patternFill>
    </fill>
    <fill>
      <patternFill patternType="solid">
        <fgColor indexed="20"/>
      </patternFill>
    </fill>
    <fill>
      <patternFill patternType="solid">
        <fgColor indexed="14"/>
      </patternFill>
    </fill>
    <fill>
      <patternFill patternType="solid">
        <fgColor indexed="10"/>
        <bgColor indexed="64"/>
      </patternFill>
    </fill>
  </fills>
  <borders count="3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3"/>
      </top>
      <bottom style="double">
        <color indexed="23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 applyNumberFormat="0" applyFill="0" applyBorder="0" applyProtection="0">
      <alignment vertical="top"/>
    </xf>
    <xf numFmtId="0" fontId="61" fillId="2" borderId="0" applyNumberFormat="0" applyBorder="0" applyAlignment="0" applyProtection="0"/>
    <xf numFmtId="0" fontId="61" fillId="3" borderId="0" applyNumberFormat="0" applyBorder="0" applyAlignment="0" applyProtection="0"/>
    <xf numFmtId="0" fontId="61" fillId="4" borderId="0" applyNumberFormat="0" applyBorder="0" applyAlignment="0" applyProtection="0"/>
    <xf numFmtId="0" fontId="61" fillId="2" borderId="0" applyNumberFormat="0" applyBorder="0" applyAlignment="0" applyProtection="0"/>
    <xf numFmtId="0" fontId="61" fillId="5" borderId="0" applyNumberFormat="0" applyBorder="0" applyAlignment="0" applyProtection="0"/>
    <xf numFmtId="0" fontId="61" fillId="3" borderId="0" applyNumberFormat="0" applyBorder="0" applyAlignment="0" applyProtection="0"/>
    <xf numFmtId="0" fontId="61" fillId="6" borderId="0" applyNumberFormat="0" applyBorder="0" applyAlignment="0" applyProtection="0"/>
    <xf numFmtId="0" fontId="61" fillId="7" borderId="0" applyNumberFormat="0" applyBorder="0" applyAlignment="0" applyProtection="0"/>
    <xf numFmtId="0" fontId="61" fillId="4" borderId="0" applyNumberFormat="0" applyBorder="0" applyAlignment="0" applyProtection="0"/>
    <xf numFmtId="0" fontId="61" fillId="6" borderId="0" applyNumberFormat="0" applyBorder="0" applyAlignment="0" applyProtection="0"/>
    <xf numFmtId="0" fontId="61" fillId="8" borderId="0" applyNumberFormat="0" applyBorder="0" applyAlignment="0" applyProtection="0"/>
    <xf numFmtId="0" fontId="61" fillId="3" borderId="0" applyNumberFormat="0" applyBorder="0" applyAlignment="0" applyProtection="0"/>
    <xf numFmtId="0" fontId="62" fillId="9" borderId="0" applyNumberFormat="0" applyBorder="0" applyAlignment="0" applyProtection="0"/>
    <xf numFmtId="0" fontId="62" fillId="7" borderId="0" applyNumberFormat="0" applyBorder="0" applyAlignment="0" applyProtection="0"/>
    <xf numFmtId="0" fontId="62" fillId="4" borderId="0" applyNumberFormat="0" applyBorder="0" applyAlignment="0" applyProtection="0"/>
    <xf numFmtId="0" fontId="62" fillId="10" borderId="0" applyNumberFormat="0" applyBorder="0" applyAlignment="0" applyProtection="0"/>
    <xf numFmtId="0" fontId="62" fillId="11" borderId="0" applyNumberFormat="0" applyBorder="0" applyAlignment="0" applyProtection="0"/>
    <xf numFmtId="0" fontId="62" fillId="3" borderId="0" applyNumberFormat="0" applyBorder="0" applyAlignment="0" applyProtection="0"/>
    <xf numFmtId="0" fontId="62" fillId="9" borderId="0" applyNumberFormat="0" applyBorder="0" applyAlignment="0" applyProtection="0"/>
    <xf numFmtId="0" fontId="62" fillId="12" borderId="0" applyNumberFormat="0" applyBorder="0" applyAlignment="0" applyProtection="0"/>
    <xf numFmtId="0" fontId="62" fillId="4" borderId="0" applyNumberFormat="0" applyBorder="0" applyAlignment="0" applyProtection="0"/>
    <xf numFmtId="0" fontId="62" fillId="13" borderId="0" applyNumberFormat="0" applyBorder="0" applyAlignment="0" applyProtection="0"/>
    <xf numFmtId="0" fontId="62" fillId="11" borderId="0" applyNumberFormat="0" applyBorder="0" applyAlignment="0" applyProtection="0"/>
    <xf numFmtId="0" fontId="62" fillId="14" borderId="0" applyNumberFormat="0" applyBorder="0" applyAlignment="0" applyProtection="0"/>
    <xf numFmtId="0" fontId="63" fillId="15" borderId="0" applyNumberFormat="0" applyBorder="0" applyAlignment="0" applyProtection="0"/>
    <xf numFmtId="0" fontId="64" fillId="2" borderId="1" applyNumberFormat="0" applyAlignment="0" applyProtection="0"/>
    <xf numFmtId="0" fontId="65" fillId="16" borderId="2" applyNumberFormat="0" applyAlignment="0" applyProtection="0"/>
    <xf numFmtId="0" fontId="66" fillId="0" borderId="0" applyNumberFormat="0" applyFill="0" applyBorder="0" applyAlignment="0" applyProtection="0"/>
    <xf numFmtId="0" fontId="67" fillId="17" borderId="0" applyNumberFormat="0" applyBorder="0" applyAlignment="0" applyProtection="0"/>
    <xf numFmtId="0" fontId="68" fillId="0" borderId="3" applyNumberFormat="0" applyFill="0" applyAlignment="0" applyProtection="0"/>
    <xf numFmtId="0" fontId="69" fillId="0" borderId="3" applyNumberFormat="0" applyFill="0" applyAlignment="0" applyProtection="0"/>
    <xf numFmtId="0" fontId="70" fillId="0" borderId="4" applyNumberFormat="0" applyFill="0" applyAlignment="0" applyProtection="0"/>
    <xf numFmtId="0" fontId="70" fillId="0" borderId="0" applyNumberFormat="0" applyFill="0" applyBorder="0" applyAlignment="0" applyProtection="0"/>
    <xf numFmtId="0" fontId="71" fillId="3" borderId="1" applyNumberFormat="0" applyAlignment="0" applyProtection="0"/>
    <xf numFmtId="0" fontId="72" fillId="0" borderId="5" applyNumberFormat="0" applyFill="0" applyAlignment="0" applyProtection="0"/>
    <xf numFmtId="0" fontId="73" fillId="18" borderId="0" applyNumberFormat="0" applyBorder="0" applyAlignment="0" applyProtection="0"/>
    <xf numFmtId="0" fontId="9" fillId="19" borderId="6" applyNumberFormat="0" applyFont="0" applyAlignment="0" applyProtection="0"/>
    <xf numFmtId="0" fontId="74" fillId="2" borderId="7" applyNumberFormat="0" applyAlignment="0" applyProtection="0"/>
    <xf numFmtId="0" fontId="75" fillId="0" borderId="0" applyNumberFormat="0" applyFill="0" applyBorder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</cellStyleXfs>
  <cellXfs count="351">
    <xf numFmtId="0" fontId="0" fillId="0" borderId="0" xfId="0" applyAlignment="1"/>
    <xf numFmtId="0" fontId="1" fillId="0" borderId="0" xfId="0" applyNumberFormat="1" applyFont="1" applyAlignment="1">
      <alignment vertical="top"/>
    </xf>
    <xf numFmtId="0" fontId="2" fillId="20" borderId="9" xfId="0" applyNumberFormat="1" applyFont="1" applyFill="1" applyBorder="1" applyAlignment="1"/>
    <xf numFmtId="0" fontId="3" fillId="20" borderId="9" xfId="0" applyNumberFormat="1" applyFont="1" applyFill="1" applyBorder="1" applyAlignment="1"/>
    <xf numFmtId="3" fontId="3" fillId="20" borderId="9" xfId="0" applyNumberFormat="1" applyFont="1" applyFill="1" applyBorder="1" applyAlignment="1"/>
    <xf numFmtId="0" fontId="3" fillId="20" borderId="9" xfId="0" applyNumberFormat="1" applyFont="1" applyFill="1" applyBorder="1" applyAlignment="1">
      <alignment horizontal="center"/>
    </xf>
    <xf numFmtId="0" fontId="2" fillId="20" borderId="9" xfId="0" applyNumberFormat="1" applyFont="1" applyFill="1" applyBorder="1" applyAlignment="1">
      <alignment horizontal="center"/>
    </xf>
    <xf numFmtId="0" fontId="2" fillId="20" borderId="9" xfId="0" applyNumberFormat="1" applyFont="1" applyFill="1" applyBorder="1" applyAlignment="1">
      <alignment horizontal="left"/>
    </xf>
    <xf numFmtId="3" fontId="3" fillId="20" borderId="9" xfId="0" applyNumberFormat="1" applyFont="1" applyFill="1" applyBorder="1" applyAlignment="1">
      <alignment horizontal="center"/>
    </xf>
    <xf numFmtId="4" fontId="3" fillId="20" borderId="9" xfId="0" applyNumberFormat="1" applyFont="1" applyFill="1" applyBorder="1" applyAlignment="1">
      <alignment horizontal="center"/>
    </xf>
    <xf numFmtId="0" fontId="6" fillId="20" borderId="9" xfId="0" applyNumberFormat="1" applyFont="1" applyFill="1" applyBorder="1" applyAlignment="1"/>
    <xf numFmtId="0" fontId="7" fillId="20" borderId="9" xfId="0" applyNumberFormat="1" applyFont="1" applyFill="1" applyBorder="1" applyAlignment="1"/>
    <xf numFmtId="0" fontId="10" fillId="20" borderId="9" xfId="0" applyNumberFormat="1" applyFont="1" applyFill="1" applyBorder="1" applyAlignment="1"/>
    <xf numFmtId="0" fontId="12" fillId="20" borderId="10" xfId="0" applyNumberFormat="1" applyFont="1" applyFill="1" applyBorder="1" applyAlignment="1"/>
    <xf numFmtId="0" fontId="12" fillId="20" borderId="11" xfId="0" applyNumberFormat="1" applyFont="1" applyFill="1" applyBorder="1" applyAlignment="1">
      <alignment vertical="top" wrapText="1"/>
    </xf>
    <xf numFmtId="0" fontId="12" fillId="0" borderId="0" xfId="0" applyNumberFormat="1" applyFont="1" applyAlignment="1">
      <alignment vertical="top"/>
    </xf>
    <xf numFmtId="0" fontId="12" fillId="0" borderId="11" xfId="0" applyNumberFormat="1" applyFont="1" applyBorder="1" applyAlignment="1">
      <alignment vertical="top"/>
    </xf>
    <xf numFmtId="0" fontId="12" fillId="0" borderId="11" xfId="0" applyNumberFormat="1" applyFont="1" applyBorder="1" applyAlignment="1">
      <alignment vertical="top" wrapText="1"/>
    </xf>
    <xf numFmtId="0" fontId="6" fillId="20" borderId="10" xfId="0" applyNumberFormat="1" applyFont="1" applyFill="1" applyBorder="1" applyAlignment="1"/>
    <xf numFmtId="0" fontId="6" fillId="20" borderId="11" xfId="0" applyNumberFormat="1" applyFont="1" applyFill="1" applyBorder="1" applyAlignment="1">
      <alignment vertical="top"/>
    </xf>
    <xf numFmtId="0" fontId="6" fillId="0" borderId="11" xfId="0" applyNumberFormat="1" applyFont="1" applyBorder="1" applyAlignment="1">
      <alignment vertical="top"/>
    </xf>
    <xf numFmtId="0" fontId="6" fillId="20" borderId="11" xfId="0" applyNumberFormat="1" applyFont="1" applyFill="1" applyBorder="1" applyAlignment="1">
      <alignment vertical="top" wrapText="1"/>
    </xf>
    <xf numFmtId="0" fontId="6" fillId="0" borderId="11" xfId="0" applyNumberFormat="1" applyFont="1" applyBorder="1" applyAlignment="1">
      <alignment vertical="top" wrapText="1"/>
    </xf>
    <xf numFmtId="0" fontId="14" fillId="0" borderId="11" xfId="0" applyNumberFormat="1" applyFont="1" applyBorder="1" applyAlignment="1">
      <alignment vertical="top" wrapText="1"/>
    </xf>
    <xf numFmtId="0" fontId="14" fillId="0" borderId="11" xfId="0" applyNumberFormat="1" applyFont="1" applyBorder="1" applyAlignment="1">
      <alignment vertical="top"/>
    </xf>
    <xf numFmtId="0" fontId="11" fillId="0" borderId="11" xfId="0" applyNumberFormat="1" applyFont="1" applyBorder="1" applyAlignment="1">
      <alignment vertical="top" wrapText="1"/>
    </xf>
    <xf numFmtId="0" fontId="11" fillId="0" borderId="11" xfId="0" applyNumberFormat="1" applyFont="1" applyBorder="1" applyAlignment="1">
      <alignment vertical="top"/>
    </xf>
    <xf numFmtId="0" fontId="8" fillId="0" borderId="11" xfId="0" applyNumberFormat="1" applyFont="1" applyBorder="1" applyAlignment="1">
      <alignment vertical="top" wrapText="1"/>
    </xf>
    <xf numFmtId="0" fontId="4" fillId="20" borderId="11" xfId="0" applyNumberFormat="1" applyFont="1" applyFill="1" applyBorder="1" applyAlignment="1">
      <alignment vertical="top" wrapText="1"/>
    </xf>
    <xf numFmtId="0" fontId="4" fillId="0" borderId="11" xfId="0" applyNumberFormat="1" applyFont="1" applyBorder="1" applyAlignment="1">
      <alignment vertical="top" wrapText="1"/>
    </xf>
    <xf numFmtId="0" fontId="15" fillId="0" borderId="11" xfId="0" applyNumberFormat="1" applyFont="1" applyBorder="1" applyAlignment="1">
      <alignment vertical="top"/>
    </xf>
    <xf numFmtId="0" fontId="13" fillId="0" borderId="11" xfId="0" applyNumberFormat="1" applyFont="1" applyBorder="1" applyAlignment="1">
      <alignment vertical="top"/>
    </xf>
    <xf numFmtId="0" fontId="13" fillId="0" borderId="11" xfId="0" applyNumberFormat="1" applyFont="1" applyBorder="1" applyAlignment="1">
      <alignment vertical="top" wrapText="1"/>
    </xf>
    <xf numFmtId="0" fontId="11" fillId="20" borderId="11" xfId="0" applyNumberFormat="1" applyFont="1" applyFill="1" applyBorder="1" applyAlignment="1">
      <alignment vertical="top" wrapText="1"/>
    </xf>
    <xf numFmtId="0" fontId="3" fillId="20" borderId="11" xfId="0" applyNumberFormat="1" applyFont="1" applyFill="1" applyBorder="1" applyAlignment="1">
      <alignment vertical="top" wrapText="1"/>
    </xf>
    <xf numFmtId="0" fontId="3" fillId="0" borderId="11" xfId="0" applyNumberFormat="1" applyFont="1" applyBorder="1" applyAlignment="1">
      <alignment vertical="top" wrapText="1"/>
    </xf>
    <xf numFmtId="0" fontId="1" fillId="0" borderId="11" xfId="0" applyNumberFormat="1" applyFont="1" applyBorder="1" applyAlignment="1">
      <alignment vertical="top" wrapText="1"/>
    </xf>
    <xf numFmtId="2" fontId="1" fillId="0" borderId="11" xfId="0" applyNumberFormat="1" applyFont="1" applyBorder="1" applyAlignment="1">
      <alignment vertical="top" wrapText="1"/>
    </xf>
    <xf numFmtId="1" fontId="3" fillId="20" borderId="11" xfId="0" applyNumberFormat="1" applyFont="1" applyFill="1" applyBorder="1" applyAlignment="1">
      <alignment vertical="top" wrapText="1"/>
    </xf>
    <xf numFmtId="1" fontId="1" fillId="0" borderId="11" xfId="0" applyNumberFormat="1" applyFont="1" applyBorder="1" applyAlignment="1">
      <alignment vertical="top" wrapText="1"/>
    </xf>
    <xf numFmtId="0" fontId="16" fillId="20" borderId="11" xfId="0" applyNumberFormat="1" applyFont="1" applyFill="1" applyBorder="1" applyAlignment="1">
      <alignment vertical="top" wrapText="1"/>
    </xf>
    <xf numFmtId="0" fontId="17" fillId="0" borderId="11" xfId="0" applyNumberFormat="1" applyFont="1" applyBorder="1" applyAlignment="1">
      <alignment vertical="top" wrapText="1"/>
    </xf>
    <xf numFmtId="2" fontId="12" fillId="0" borderId="11" xfId="0" applyNumberFormat="1" applyFont="1" applyBorder="1" applyAlignment="1">
      <alignment vertical="top"/>
    </xf>
    <xf numFmtId="0" fontId="9" fillId="0" borderId="11" xfId="0" applyFont="1" applyBorder="1" applyAlignment="1">
      <alignment vertical="top" wrapText="1"/>
    </xf>
    <xf numFmtId="0" fontId="0" fillId="0" borderId="11" xfId="0" applyBorder="1" applyAlignment="1"/>
    <xf numFmtId="2" fontId="0" fillId="0" borderId="11" xfId="0" applyNumberFormat="1" applyBorder="1" applyAlignment="1"/>
    <xf numFmtId="164" fontId="0" fillId="0" borderId="11" xfId="0" applyNumberFormat="1" applyBorder="1" applyAlignment="1"/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 wrapText="1"/>
    </xf>
    <xf numFmtId="0" fontId="0" fillId="0" borderId="11" xfId="0" applyBorder="1" applyAlignment="1">
      <alignment vertical="top" wrapText="1"/>
    </xf>
    <xf numFmtId="3" fontId="0" fillId="0" borderId="11" xfId="0" applyNumberFormat="1" applyBorder="1" applyAlignment="1">
      <alignment vertical="top" wrapText="1"/>
    </xf>
    <xf numFmtId="164" fontId="0" fillId="0" borderId="11" xfId="0" applyNumberFormat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3" fontId="19" fillId="0" borderId="11" xfId="0" applyNumberFormat="1" applyFont="1" applyBorder="1" applyAlignment="1">
      <alignment vertical="top" wrapText="1"/>
    </xf>
    <xf numFmtId="164" fontId="19" fillId="0" borderId="11" xfId="0" applyNumberFormat="1" applyFont="1" applyBorder="1" applyAlignment="1">
      <alignment vertical="top" wrapText="1"/>
    </xf>
    <xf numFmtId="0" fontId="19" fillId="0" borderId="0" xfId="0" applyFont="1" applyAlignment="1"/>
    <xf numFmtId="0" fontId="0" fillId="0" borderId="11" xfId="0" applyBorder="1" applyAlignment="1">
      <alignment vertical="top"/>
    </xf>
    <xf numFmtId="3" fontId="0" fillId="0" borderId="11" xfId="0" applyNumberFormat="1" applyBorder="1" applyAlignment="1">
      <alignment vertical="top"/>
    </xf>
    <xf numFmtId="0" fontId="20" fillId="0" borderId="11" xfId="0" applyFont="1" applyBorder="1" applyAlignment="1">
      <alignment vertical="top"/>
    </xf>
    <xf numFmtId="0" fontId="19" fillId="0" borderId="0" xfId="0" applyFont="1" applyAlignment="1">
      <alignment vertical="top" wrapText="1"/>
    </xf>
    <xf numFmtId="0" fontId="23" fillId="0" borderId="11" xfId="0" applyFont="1" applyBorder="1" applyAlignment="1">
      <alignment vertical="top" wrapText="1"/>
    </xf>
    <xf numFmtId="0" fontId="23" fillId="0" borderId="11" xfId="0" applyFont="1" applyBorder="1" applyAlignment="1">
      <alignment vertical="top"/>
    </xf>
    <xf numFmtId="3" fontId="23" fillId="0" borderId="11" xfId="0" applyNumberFormat="1" applyFont="1" applyBorder="1" applyAlignment="1">
      <alignment vertical="top"/>
    </xf>
    <xf numFmtId="3" fontId="25" fillId="0" borderId="11" xfId="0" applyNumberFormat="1" applyFont="1" applyBorder="1" applyAlignment="1">
      <alignment vertical="top" wrapText="1"/>
    </xf>
    <xf numFmtId="11" fontId="0" fillId="0" borderId="11" xfId="0" applyNumberFormat="1" applyBorder="1" applyAlignment="1">
      <alignment vertical="top"/>
    </xf>
    <xf numFmtId="0" fontId="3" fillId="20" borderId="10" xfId="0" applyNumberFormat="1" applyFont="1" applyFill="1" applyBorder="1" applyAlignment="1"/>
    <xf numFmtId="0" fontId="3" fillId="20" borderId="12" xfId="0" applyNumberFormat="1" applyFont="1" applyFill="1" applyBorder="1" applyAlignment="1"/>
    <xf numFmtId="0" fontId="19" fillId="0" borderId="11" xfId="0" applyFont="1" applyBorder="1" applyAlignment="1"/>
    <xf numFmtId="0" fontId="19" fillId="0" borderId="11" xfId="0" applyFont="1" applyBorder="1" applyAlignment="1">
      <alignment horizontal="center"/>
    </xf>
    <xf numFmtId="0" fontId="0" fillId="0" borderId="0" xfId="0" applyAlignment="1">
      <alignment vertical="top"/>
    </xf>
    <xf numFmtId="1" fontId="0" fillId="0" borderId="0" xfId="0" applyNumberFormat="1" applyAlignment="1">
      <alignment vertical="top"/>
    </xf>
    <xf numFmtId="1" fontId="0" fillId="0" borderId="0" xfId="0" applyNumberFormat="1" applyAlignment="1"/>
    <xf numFmtId="2" fontId="0" fillId="0" borderId="0" xfId="0" applyNumberFormat="1" applyAlignment="1">
      <alignment vertical="top"/>
    </xf>
    <xf numFmtId="2" fontId="0" fillId="0" borderId="0" xfId="0" applyNumberFormat="1" applyAlignment="1"/>
    <xf numFmtId="164" fontId="0" fillId="0" borderId="0" xfId="0" applyNumberFormat="1" applyAlignment="1">
      <alignment vertical="top"/>
    </xf>
    <xf numFmtId="164" fontId="0" fillId="0" borderId="0" xfId="0" applyNumberFormat="1" applyAlignment="1"/>
    <xf numFmtId="1" fontId="0" fillId="0" borderId="11" xfId="0" applyNumberFormat="1" applyBorder="1" applyAlignment="1">
      <alignment vertical="top"/>
    </xf>
    <xf numFmtId="164" fontId="0" fillId="0" borderId="11" xfId="0" applyNumberFormat="1" applyBorder="1" applyAlignment="1">
      <alignment vertical="top"/>
    </xf>
    <xf numFmtId="2" fontId="0" fillId="0" borderId="11" xfId="0" applyNumberFormat="1" applyBorder="1" applyAlignment="1">
      <alignment vertical="top"/>
    </xf>
    <xf numFmtId="0" fontId="26" fillId="0" borderId="11" xfId="0" applyFont="1" applyBorder="1" applyAlignment="1">
      <alignment vertical="top"/>
    </xf>
    <xf numFmtId="1" fontId="20" fillId="0" borderId="11" xfId="0" applyNumberFormat="1" applyFont="1" applyBorder="1" applyAlignment="1">
      <alignment vertical="top"/>
    </xf>
    <xf numFmtId="1" fontId="0" fillId="0" borderId="11" xfId="0" applyNumberFormat="1" applyBorder="1" applyAlignment="1"/>
    <xf numFmtId="0" fontId="26" fillId="0" borderId="11" xfId="0" applyFont="1" applyBorder="1" applyAlignment="1"/>
    <xf numFmtId="0" fontId="9" fillId="0" borderId="11" xfId="0" applyFont="1" applyFill="1" applyBorder="1" applyAlignment="1">
      <alignment vertical="top"/>
    </xf>
    <xf numFmtId="0" fontId="19" fillId="0" borderId="11" xfId="0" applyFont="1" applyFill="1" applyBorder="1" applyAlignment="1">
      <alignment vertical="top" wrapText="1"/>
    </xf>
    <xf numFmtId="0" fontId="19" fillId="0" borderId="11" xfId="0" applyFont="1" applyFill="1" applyBorder="1" applyAlignment="1">
      <alignment vertical="top"/>
    </xf>
    <xf numFmtId="1" fontId="0" fillId="0" borderId="13" xfId="0" applyNumberFormat="1" applyBorder="1" applyAlignment="1">
      <alignment vertical="top"/>
    </xf>
    <xf numFmtId="1" fontId="0" fillId="0" borderId="14" xfId="0" applyNumberFormat="1" applyBorder="1" applyAlignment="1">
      <alignment vertical="top"/>
    </xf>
    <xf numFmtId="0" fontId="19" fillId="0" borderId="15" xfId="0" applyFont="1" applyFill="1" applyBorder="1" applyAlignment="1">
      <alignment vertical="top" wrapText="1"/>
    </xf>
    <xf numFmtId="1" fontId="0" fillId="0" borderId="15" xfId="0" applyNumberFormat="1" applyBorder="1" applyAlignment="1">
      <alignment vertical="top"/>
    </xf>
    <xf numFmtId="3" fontId="19" fillId="0" borderId="11" xfId="0" applyNumberFormat="1" applyFont="1" applyFill="1" applyBorder="1" applyAlignment="1">
      <alignment vertical="top"/>
    </xf>
    <xf numFmtId="3" fontId="19" fillId="0" borderId="15" xfId="0" applyNumberFormat="1" applyFont="1" applyBorder="1" applyAlignment="1">
      <alignment vertical="top"/>
    </xf>
    <xf numFmtId="3" fontId="0" fillId="0" borderId="11" xfId="0" applyNumberFormat="1" applyBorder="1" applyAlignment="1"/>
    <xf numFmtId="3" fontId="19" fillId="0" borderId="11" xfId="0" applyNumberFormat="1" applyFont="1" applyBorder="1" applyAlignment="1">
      <alignment vertical="top"/>
    </xf>
    <xf numFmtId="3" fontId="20" fillId="0" borderId="11" xfId="0" applyNumberFormat="1" applyFont="1" applyBorder="1" applyAlignment="1">
      <alignment vertical="top"/>
    </xf>
    <xf numFmtId="0" fontId="20" fillId="0" borderId="11" xfId="0" applyFont="1" applyBorder="1" applyAlignment="1">
      <alignment vertical="top" wrapText="1"/>
    </xf>
    <xf numFmtId="0" fontId="20" fillId="0" borderId="11" xfId="0" applyFont="1" applyFill="1" applyBorder="1" applyAlignment="1">
      <alignment vertical="top"/>
    </xf>
    <xf numFmtId="1" fontId="20" fillId="0" borderId="15" xfId="0" applyNumberFormat="1" applyFont="1" applyBorder="1" applyAlignment="1">
      <alignment vertical="top"/>
    </xf>
    <xf numFmtId="1" fontId="20" fillId="0" borderId="11" xfId="0" applyNumberFormat="1" applyFont="1" applyBorder="1" applyAlignment="1"/>
    <xf numFmtId="1" fontId="19" fillId="0" borderId="11" xfId="0" applyNumberFormat="1" applyFont="1" applyFill="1" applyBorder="1" applyAlignment="1">
      <alignment vertical="top"/>
    </xf>
    <xf numFmtId="3" fontId="0" fillId="0" borderId="15" xfId="0" applyNumberFormat="1" applyBorder="1" applyAlignment="1">
      <alignment vertical="top"/>
    </xf>
    <xf numFmtId="3" fontId="9" fillId="0" borderId="11" xfId="0" applyNumberFormat="1" applyFont="1" applyBorder="1" applyAlignment="1">
      <alignment vertical="top"/>
    </xf>
    <xf numFmtId="3" fontId="9" fillId="0" borderId="11" xfId="0" applyNumberFormat="1" applyFont="1" applyFill="1" applyBorder="1" applyAlignment="1">
      <alignment vertical="top"/>
    </xf>
    <xf numFmtId="0" fontId="9" fillId="0" borderId="11" xfId="0" applyFont="1" applyBorder="1" applyAlignment="1">
      <alignment vertical="top"/>
    </xf>
    <xf numFmtId="0" fontId="19" fillId="0" borderId="11" xfId="0" applyFont="1" applyBorder="1" applyAlignment="1">
      <alignment vertical="top"/>
    </xf>
    <xf numFmtId="1" fontId="9" fillId="0" borderId="11" xfId="0" applyNumberFormat="1" applyFont="1" applyFill="1" applyBorder="1" applyAlignment="1">
      <alignment vertical="top"/>
    </xf>
    <xf numFmtId="1" fontId="19" fillId="0" borderId="11" xfId="0" applyNumberFormat="1" applyFont="1" applyBorder="1" applyAlignment="1">
      <alignment vertical="top"/>
    </xf>
    <xf numFmtId="1" fontId="19" fillId="0" borderId="15" xfId="0" applyNumberFormat="1" applyFont="1" applyBorder="1" applyAlignment="1">
      <alignment vertical="top"/>
    </xf>
    <xf numFmtId="3" fontId="28" fillId="0" borderId="11" xfId="0" applyNumberFormat="1" applyFont="1" applyBorder="1" applyAlignment="1">
      <alignment vertical="top"/>
    </xf>
    <xf numFmtId="3" fontId="20" fillId="0" borderId="11" xfId="0" applyNumberFormat="1" applyFont="1" applyBorder="1" applyAlignment="1">
      <alignment vertical="top" wrapText="1"/>
    </xf>
    <xf numFmtId="3" fontId="20" fillId="0" borderId="11" xfId="0" applyNumberFormat="1" applyFont="1" applyFill="1" applyBorder="1" applyAlignment="1">
      <alignment vertical="top"/>
    </xf>
    <xf numFmtId="1" fontId="20" fillId="0" borderId="14" xfId="0" applyNumberFormat="1" applyFont="1" applyBorder="1" applyAlignment="1">
      <alignment vertical="top"/>
    </xf>
    <xf numFmtId="3" fontId="29" fillId="0" borderId="11" xfId="0" applyNumberFormat="1" applyFont="1" applyBorder="1" applyAlignment="1"/>
    <xf numFmtId="1" fontId="29" fillId="0" borderId="11" xfId="0" applyNumberFormat="1" applyFont="1" applyBorder="1" applyAlignment="1">
      <alignment vertical="top"/>
    </xf>
    <xf numFmtId="3" fontId="29" fillId="0" borderId="11" xfId="0" applyNumberFormat="1" applyFont="1" applyBorder="1" applyAlignment="1">
      <alignment vertical="top"/>
    </xf>
    <xf numFmtId="2" fontId="19" fillId="0" borderId="11" xfId="0" applyNumberFormat="1" applyFont="1" applyBorder="1" applyAlignment="1">
      <alignment vertical="top"/>
    </xf>
    <xf numFmtId="2" fontId="20" fillId="0" borderId="11" xfId="0" applyNumberFormat="1" applyFont="1" applyBorder="1" applyAlignment="1">
      <alignment vertical="top"/>
    </xf>
    <xf numFmtId="0" fontId="0" fillId="0" borderId="0" xfId="0" applyBorder="1" applyAlignment="1"/>
    <xf numFmtId="3" fontId="0" fillId="0" borderId="0" xfId="0" applyNumberFormat="1" applyBorder="1" applyAlignment="1"/>
    <xf numFmtId="0" fontId="19" fillId="0" borderId="0" xfId="0" applyFont="1" applyFill="1" applyBorder="1" applyAlignment="1">
      <alignment vertical="top" wrapText="1"/>
    </xf>
    <xf numFmtId="0" fontId="27" fillId="0" borderId="0" xfId="0" applyFont="1" applyFill="1" applyBorder="1" applyAlignment="1">
      <alignment vertical="top" wrapText="1"/>
    </xf>
    <xf numFmtId="0" fontId="19" fillId="0" borderId="0" xfId="0" applyFont="1" applyAlignment="1">
      <alignment vertical="top"/>
    </xf>
    <xf numFmtId="3" fontId="19" fillId="0" borderId="0" xfId="0" applyNumberFormat="1" applyFont="1" applyAlignment="1">
      <alignment vertical="top"/>
    </xf>
    <xf numFmtId="0" fontId="30" fillId="0" borderId="0" xfId="0" applyFont="1" applyFill="1" applyBorder="1" applyAlignment="1">
      <alignment vertical="top" wrapText="1"/>
    </xf>
    <xf numFmtId="3" fontId="9" fillId="0" borderId="15" xfId="0" applyNumberFormat="1" applyFont="1" applyBorder="1" applyAlignment="1">
      <alignment vertical="top"/>
    </xf>
    <xf numFmtId="3" fontId="9" fillId="0" borderId="11" xfId="0" applyNumberFormat="1" applyFont="1" applyBorder="1" applyAlignment="1"/>
    <xf numFmtId="1" fontId="30" fillId="0" borderId="0" xfId="0" applyNumberFormat="1" applyFont="1" applyAlignment="1"/>
    <xf numFmtId="3" fontId="30" fillId="0" borderId="0" xfId="0" applyNumberFormat="1" applyFont="1" applyAlignment="1"/>
    <xf numFmtId="0" fontId="31" fillId="0" borderId="16" xfId="0" applyFont="1" applyBorder="1" applyAlignment="1">
      <alignment vertical="top" wrapText="1"/>
    </xf>
    <xf numFmtId="0" fontId="31" fillId="0" borderId="17" xfId="0" applyFont="1" applyBorder="1" applyAlignment="1">
      <alignment vertical="top" wrapText="1"/>
    </xf>
    <xf numFmtId="0" fontId="31" fillId="0" borderId="18" xfId="0" applyFont="1" applyBorder="1" applyAlignment="1">
      <alignment vertical="top" wrapText="1"/>
    </xf>
    <xf numFmtId="11" fontId="31" fillId="0" borderId="19" xfId="0" applyNumberFormat="1" applyFont="1" applyBorder="1" applyAlignment="1">
      <alignment vertical="top" wrapText="1"/>
    </xf>
    <xf numFmtId="0" fontId="31" fillId="0" borderId="19" xfId="0" applyFont="1" applyBorder="1" applyAlignment="1">
      <alignment vertical="top" wrapText="1"/>
    </xf>
    <xf numFmtId="0" fontId="31" fillId="0" borderId="0" xfId="0" applyFont="1" applyBorder="1" applyAlignment="1">
      <alignment vertical="top" wrapText="1"/>
    </xf>
    <xf numFmtId="0" fontId="31" fillId="0" borderId="20" xfId="0" applyFont="1" applyBorder="1" applyAlignment="1">
      <alignment vertical="top" wrapText="1"/>
    </xf>
    <xf numFmtId="11" fontId="31" fillId="0" borderId="21" xfId="0" applyNumberFormat="1" applyFont="1" applyBorder="1" applyAlignment="1">
      <alignment vertical="top" wrapText="1"/>
    </xf>
    <xf numFmtId="0" fontId="31" fillId="0" borderId="21" xfId="0" applyFont="1" applyBorder="1" applyAlignment="1">
      <alignment vertical="top" wrapText="1"/>
    </xf>
    <xf numFmtId="0" fontId="31" fillId="0" borderId="22" xfId="0" applyFont="1" applyBorder="1" applyAlignment="1">
      <alignment vertical="top" wrapText="1"/>
    </xf>
    <xf numFmtId="11" fontId="31" fillId="0" borderId="23" xfId="0" applyNumberFormat="1" applyFont="1" applyBorder="1" applyAlignment="1">
      <alignment vertical="top" wrapText="1"/>
    </xf>
    <xf numFmtId="11" fontId="31" fillId="0" borderId="24" xfId="0" applyNumberFormat="1" applyFont="1" applyBorder="1" applyAlignment="1">
      <alignment vertical="top" wrapText="1"/>
    </xf>
    <xf numFmtId="0" fontId="32" fillId="0" borderId="11" xfId="0" applyFont="1" applyFill="1" applyBorder="1" applyAlignment="1">
      <alignment vertical="top" wrapText="1"/>
    </xf>
    <xf numFmtId="11" fontId="30" fillId="0" borderId="11" xfId="0" applyNumberFormat="1" applyFont="1" applyBorder="1" applyAlignment="1"/>
    <xf numFmtId="0" fontId="32" fillId="0" borderId="11" xfId="0" applyFont="1" applyBorder="1" applyAlignment="1">
      <alignment vertical="top" wrapText="1"/>
    </xf>
    <xf numFmtId="11" fontId="32" fillId="0" borderId="11" xfId="0" applyNumberFormat="1" applyFont="1" applyBorder="1" applyAlignment="1">
      <alignment vertical="top" wrapText="1"/>
    </xf>
    <xf numFmtId="0" fontId="31" fillId="0" borderId="25" xfId="0" applyFont="1" applyBorder="1" applyAlignment="1">
      <alignment vertical="top" wrapText="1"/>
    </xf>
    <xf numFmtId="11" fontId="31" fillId="0" borderId="26" xfId="0" applyNumberFormat="1" applyFont="1" applyBorder="1" applyAlignment="1">
      <alignment vertical="top" wrapText="1"/>
    </xf>
    <xf numFmtId="0" fontId="33" fillId="0" borderId="0" xfId="0" applyFont="1" applyAlignment="1"/>
    <xf numFmtId="0" fontId="34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3" fillId="0" borderId="0" xfId="0" applyFont="1" applyAlignment="1">
      <alignment vertical="top" wrapText="1"/>
    </xf>
    <xf numFmtId="0" fontId="31" fillId="0" borderId="11" xfId="0" applyFont="1" applyBorder="1" applyAlignment="1">
      <alignment vertical="top" wrapText="1"/>
    </xf>
    <xf numFmtId="11" fontId="31" fillId="0" borderId="11" xfId="0" applyNumberFormat="1" applyFont="1" applyBorder="1" applyAlignment="1">
      <alignment vertical="top" wrapText="1"/>
    </xf>
    <xf numFmtId="0" fontId="31" fillId="0" borderId="0" xfId="0" applyFont="1" applyFill="1" applyBorder="1" applyAlignment="1">
      <alignment vertical="top" wrapText="1"/>
    </xf>
    <xf numFmtId="11" fontId="31" fillId="0" borderId="0" xfId="0" applyNumberFormat="1" applyFont="1" applyBorder="1" applyAlignment="1">
      <alignment vertical="top" wrapText="1"/>
    </xf>
    <xf numFmtId="0" fontId="34" fillId="0" borderId="0" xfId="0" applyFont="1" applyAlignment="1"/>
    <xf numFmtId="0" fontId="31" fillId="0" borderId="0" xfId="0" applyFont="1" applyAlignment="1"/>
    <xf numFmtId="2" fontId="35" fillId="0" borderId="11" xfId="0" applyNumberFormat="1" applyFont="1" applyFill="1" applyBorder="1" applyAlignment="1">
      <alignment vertical="top" wrapText="1"/>
    </xf>
    <xf numFmtId="2" fontId="35" fillId="0" borderId="11" xfId="0" applyNumberFormat="1" applyFont="1" applyBorder="1" applyAlignment="1"/>
    <xf numFmtId="0" fontId="31" fillId="0" borderId="11" xfId="0" applyFont="1" applyFill="1" applyBorder="1" applyAlignment="1">
      <alignment vertical="top" wrapText="1"/>
    </xf>
    <xf numFmtId="11" fontId="31" fillId="0" borderId="11" xfId="0" applyNumberFormat="1" applyFont="1" applyBorder="1" applyAlignment="1"/>
    <xf numFmtId="11" fontId="31" fillId="0" borderId="0" xfId="0" applyNumberFormat="1" applyFont="1" applyBorder="1" applyAlignment="1"/>
    <xf numFmtId="0" fontId="34" fillId="0" borderId="11" xfId="0" applyFont="1" applyBorder="1" applyAlignment="1"/>
    <xf numFmtId="0" fontId="31" fillId="0" borderId="11" xfId="0" applyFont="1" applyBorder="1" applyAlignment="1">
      <alignment horizontal="left" vertical="top" wrapText="1"/>
    </xf>
    <xf numFmtId="0" fontId="31" fillId="0" borderId="13" xfId="0" applyFont="1" applyFill="1" applyBorder="1" applyAlignment="1">
      <alignment vertical="top" wrapText="1"/>
    </xf>
    <xf numFmtId="0" fontId="36" fillId="0" borderId="13" xfId="0" applyFont="1" applyFill="1" applyBorder="1" applyAlignment="1">
      <alignment vertical="top" wrapText="1"/>
    </xf>
    <xf numFmtId="0" fontId="37" fillId="0" borderId="0" xfId="0" applyFont="1" applyAlignment="1"/>
    <xf numFmtId="0" fontId="31" fillId="0" borderId="11" xfId="0" applyFont="1" applyBorder="1" applyAlignment="1"/>
    <xf numFmtId="11" fontId="31" fillId="0" borderId="11" xfId="0" applyNumberFormat="1" applyFont="1" applyBorder="1" applyAlignment="1">
      <alignment vertical="top"/>
    </xf>
    <xf numFmtId="9" fontId="31" fillId="0" borderId="11" xfId="0" applyNumberFormat="1" applyFont="1" applyBorder="1" applyAlignment="1">
      <alignment vertical="top" wrapText="1"/>
    </xf>
    <xf numFmtId="0" fontId="31" fillId="0" borderId="11" xfId="0" applyNumberFormat="1" applyFont="1" applyBorder="1" applyAlignment="1">
      <alignment vertical="top" wrapText="1"/>
    </xf>
    <xf numFmtId="2" fontId="31" fillId="0" borderId="11" xfId="0" applyNumberFormat="1" applyFont="1" applyBorder="1" applyAlignment="1">
      <alignment vertical="top" wrapText="1"/>
    </xf>
    <xf numFmtId="9" fontId="31" fillId="0" borderId="0" xfId="0" applyNumberFormat="1" applyFont="1" applyBorder="1" applyAlignment="1">
      <alignment vertical="top" wrapText="1"/>
    </xf>
    <xf numFmtId="11" fontId="32" fillId="0" borderId="0" xfId="0" applyNumberFormat="1" applyFont="1" applyBorder="1" applyAlignment="1">
      <alignment vertical="top" wrapText="1"/>
    </xf>
    <xf numFmtId="11" fontId="31" fillId="0" borderId="0" xfId="0" applyNumberFormat="1" applyFont="1" applyBorder="1" applyAlignment="1">
      <alignment vertical="top"/>
    </xf>
    <xf numFmtId="2" fontId="31" fillId="0" borderId="0" xfId="0" applyNumberFormat="1" applyFont="1" applyBorder="1" applyAlignment="1">
      <alignment vertical="top" wrapText="1"/>
    </xf>
    <xf numFmtId="0" fontId="41" fillId="0" borderId="11" xfId="0" applyFont="1" applyBorder="1" applyAlignment="1">
      <alignment vertical="top" wrapText="1"/>
    </xf>
    <xf numFmtId="0" fontId="40" fillId="0" borderId="0" xfId="0" applyFont="1" applyAlignment="1"/>
    <xf numFmtId="3" fontId="41" fillId="0" borderId="11" xfId="0" applyNumberFormat="1" applyFont="1" applyBorder="1" applyAlignment="1">
      <alignment vertical="top" wrapText="1"/>
    </xf>
    <xf numFmtId="3" fontId="41" fillId="0" borderId="11" xfId="0" applyNumberFormat="1" applyFont="1" applyFill="1" applyBorder="1" applyAlignment="1">
      <alignment vertical="top"/>
    </xf>
    <xf numFmtId="3" fontId="41" fillId="0" borderId="15" xfId="0" applyNumberFormat="1" applyFont="1" applyBorder="1" applyAlignment="1">
      <alignment vertical="top"/>
    </xf>
    <xf numFmtId="3" fontId="42" fillId="0" borderId="11" xfId="0" applyNumberFormat="1" applyFont="1" applyBorder="1" applyAlignment="1"/>
    <xf numFmtId="4" fontId="41" fillId="0" borderId="11" xfId="0" applyNumberFormat="1" applyFont="1" applyBorder="1" applyAlignment="1">
      <alignment vertical="top" wrapText="1"/>
    </xf>
    <xf numFmtId="1" fontId="42" fillId="0" borderId="11" xfId="0" applyNumberFormat="1" applyFont="1" applyBorder="1" applyAlignment="1">
      <alignment vertical="top"/>
    </xf>
    <xf numFmtId="3" fontId="42" fillId="0" borderId="11" xfId="0" applyNumberFormat="1" applyFont="1" applyBorder="1" applyAlignment="1">
      <alignment vertical="top"/>
    </xf>
    <xf numFmtId="2" fontId="41" fillId="0" borderId="11" xfId="0" applyNumberFormat="1" applyFont="1" applyBorder="1" applyAlignment="1">
      <alignment vertical="top" wrapText="1"/>
    </xf>
    <xf numFmtId="0" fontId="41" fillId="0" borderId="0" xfId="0" applyFont="1" applyFill="1" applyBorder="1" applyAlignment="1">
      <alignment vertical="top" wrapText="1"/>
    </xf>
    <xf numFmtId="0" fontId="42" fillId="0" borderId="0" xfId="0" applyFont="1" applyAlignment="1"/>
    <xf numFmtId="1" fontId="41" fillId="0" borderId="0" xfId="0" applyNumberFormat="1" applyFont="1" applyAlignment="1"/>
    <xf numFmtId="3" fontId="41" fillId="0" borderId="0" xfId="0" applyNumberFormat="1" applyFont="1" applyAlignment="1"/>
    <xf numFmtId="2" fontId="41" fillId="0" borderId="0" xfId="0" applyNumberFormat="1" applyFont="1" applyAlignment="1"/>
    <xf numFmtId="11" fontId="31" fillId="0" borderId="13" xfId="0" applyNumberFormat="1" applyFont="1" applyFill="1" applyBorder="1" applyAlignment="1">
      <alignment vertical="top" wrapText="1"/>
    </xf>
    <xf numFmtId="0" fontId="31" fillId="0" borderId="11" xfId="0" applyFont="1" applyBorder="1" applyAlignment="1">
      <alignment vertical="top"/>
    </xf>
    <xf numFmtId="0" fontId="43" fillId="0" borderId="11" xfId="0" applyFont="1" applyBorder="1" applyAlignment="1"/>
    <xf numFmtId="11" fontId="43" fillId="0" borderId="11" xfId="0" applyNumberFormat="1" applyFont="1" applyBorder="1" applyAlignment="1"/>
    <xf numFmtId="11" fontId="31" fillId="0" borderId="0" xfId="0" applyNumberFormat="1" applyFont="1" applyAlignment="1"/>
    <xf numFmtId="0" fontId="37" fillId="0" borderId="0" xfId="0" applyFont="1" applyFill="1" applyBorder="1" applyAlignment="1">
      <alignment vertical="top" wrapText="1"/>
    </xf>
    <xf numFmtId="0" fontId="44" fillId="0" borderId="0" xfId="0" applyFont="1" applyAlignment="1">
      <alignment vertical="top" wrapText="1"/>
    </xf>
    <xf numFmtId="0" fontId="45" fillId="0" borderId="0" xfId="0" applyNumberFormat="1" applyFont="1" applyAlignment="1">
      <alignment vertical="top"/>
    </xf>
    <xf numFmtId="0" fontId="31" fillId="0" borderId="0" xfId="0" applyNumberFormat="1" applyFont="1" applyAlignment="1">
      <alignment vertical="top"/>
    </xf>
    <xf numFmtId="164" fontId="32" fillId="0" borderId="11" xfId="0" applyNumberFormat="1" applyFont="1" applyBorder="1" applyAlignment="1">
      <alignment vertical="top"/>
    </xf>
    <xf numFmtId="0" fontId="31" fillId="0" borderId="11" xfId="0" applyNumberFormat="1" applyFont="1" applyFill="1" applyBorder="1" applyAlignment="1">
      <alignment vertical="top" wrapText="1"/>
    </xf>
    <xf numFmtId="0" fontId="31" fillId="0" borderId="11" xfId="0" applyNumberFormat="1" applyFont="1" applyBorder="1" applyAlignment="1">
      <alignment vertical="top"/>
    </xf>
    <xf numFmtId="164" fontId="31" fillId="0" borderId="11" xfId="0" applyNumberFormat="1" applyFont="1" applyBorder="1" applyAlignment="1">
      <alignment vertical="top"/>
    </xf>
    <xf numFmtId="0" fontId="32" fillId="0" borderId="11" xfId="0" applyNumberFormat="1" applyFont="1" applyBorder="1" applyAlignment="1">
      <alignment vertical="top" wrapText="1"/>
    </xf>
    <xf numFmtId="11" fontId="32" fillId="0" borderId="11" xfId="0" applyNumberFormat="1" applyFont="1" applyBorder="1" applyAlignment="1">
      <alignment vertical="top"/>
    </xf>
    <xf numFmtId="164" fontId="31" fillId="0" borderId="0" xfId="0" applyNumberFormat="1" applyFont="1" applyAlignment="1">
      <alignment vertical="top" wrapText="1"/>
    </xf>
    <xf numFmtId="0" fontId="38" fillId="0" borderId="0" xfId="0" applyFont="1" applyAlignment="1"/>
    <xf numFmtId="164" fontId="31" fillId="0" borderId="11" xfId="0" applyNumberFormat="1" applyFont="1" applyBorder="1" applyAlignment="1">
      <alignment vertical="top" wrapText="1"/>
    </xf>
    <xf numFmtId="0" fontId="39" fillId="0" borderId="11" xfId="0" applyFont="1" applyBorder="1" applyAlignment="1">
      <alignment vertical="top" wrapText="1"/>
    </xf>
    <xf numFmtId="164" fontId="39" fillId="0" borderId="11" xfId="0" applyNumberFormat="1" applyFont="1" applyBorder="1" applyAlignment="1">
      <alignment vertical="top" wrapText="1"/>
    </xf>
    <xf numFmtId="3" fontId="31" fillId="0" borderId="11" xfId="0" applyNumberFormat="1" applyFont="1" applyBorder="1" applyAlignment="1">
      <alignment vertical="top" wrapText="1"/>
    </xf>
    <xf numFmtId="166" fontId="31" fillId="0" borderId="11" xfId="0" applyNumberFormat="1" applyFont="1" applyBorder="1" applyAlignment="1">
      <alignment vertical="top" wrapText="1"/>
    </xf>
    <xf numFmtId="0" fontId="46" fillId="0" borderId="11" xfId="0" applyFont="1" applyBorder="1" applyAlignment="1">
      <alignment vertical="top" wrapText="1"/>
    </xf>
    <xf numFmtId="164" fontId="46" fillId="0" borderId="11" xfId="0" applyNumberFormat="1" applyFont="1" applyBorder="1" applyAlignment="1">
      <alignment vertical="top" wrapText="1"/>
    </xf>
    <xf numFmtId="2" fontId="32" fillId="0" borderId="11" xfId="0" applyNumberFormat="1" applyFont="1" applyBorder="1" applyAlignment="1">
      <alignment vertical="top" wrapText="1"/>
    </xf>
    <xf numFmtId="2" fontId="31" fillId="0" borderId="11" xfId="0" applyNumberFormat="1" applyFont="1" applyBorder="1" applyAlignment="1">
      <alignment vertical="top"/>
    </xf>
    <xf numFmtId="2" fontId="32" fillId="0" borderId="11" xfId="0" applyNumberFormat="1" applyFont="1" applyBorder="1" applyAlignment="1">
      <alignment vertical="top"/>
    </xf>
    <xf numFmtId="0" fontId="31" fillId="0" borderId="0" xfId="0" applyNumberFormat="1" applyFont="1" applyBorder="1" applyAlignment="1">
      <alignment vertical="top" wrapText="1"/>
    </xf>
    <xf numFmtId="164" fontId="31" fillId="0" borderId="0" xfId="0" applyNumberFormat="1" applyFont="1" applyBorder="1" applyAlignment="1">
      <alignment vertical="top"/>
    </xf>
    <xf numFmtId="164" fontId="32" fillId="0" borderId="0" xfId="0" applyNumberFormat="1" applyFont="1" applyBorder="1" applyAlignment="1">
      <alignment vertical="top"/>
    </xf>
    <xf numFmtId="0" fontId="31" fillId="0" borderId="0" xfId="0" applyNumberFormat="1" applyFont="1" applyBorder="1" applyAlignment="1">
      <alignment vertical="top"/>
    </xf>
    <xf numFmtId="167" fontId="31" fillId="0" borderId="11" xfId="0" applyNumberFormat="1" applyFont="1" applyBorder="1" applyAlignment="1">
      <alignment vertical="top" wrapText="1"/>
    </xf>
    <xf numFmtId="0" fontId="31" fillId="0" borderId="0" xfId="0" applyNumberFormat="1" applyFont="1" applyFill="1" applyBorder="1" applyAlignment="1">
      <alignment vertical="top" wrapText="1"/>
    </xf>
    <xf numFmtId="4" fontId="31" fillId="0" borderId="0" xfId="0" applyNumberFormat="1" applyFont="1" applyBorder="1" applyAlignment="1"/>
    <xf numFmtId="4" fontId="31" fillId="0" borderId="0" xfId="0" applyNumberFormat="1" applyFont="1" applyBorder="1" applyAlignment="1">
      <alignment vertical="top" wrapText="1"/>
    </xf>
    <xf numFmtId="4" fontId="31" fillId="0" borderId="11" xfId="0" applyNumberFormat="1" applyFont="1" applyBorder="1" applyAlignment="1">
      <alignment vertical="top" wrapText="1"/>
    </xf>
    <xf numFmtId="4" fontId="31" fillId="0" borderId="11" xfId="0" applyNumberFormat="1" applyFont="1" applyBorder="1" applyAlignment="1"/>
    <xf numFmtId="0" fontId="34" fillId="0" borderId="11" xfId="0" applyFont="1" applyBorder="1" applyAlignment="1">
      <alignment vertical="top" wrapText="1"/>
    </xf>
    <xf numFmtId="4" fontId="34" fillId="0" borderId="11" xfId="0" applyNumberFormat="1" applyFont="1" applyBorder="1" applyAlignment="1"/>
    <xf numFmtId="1" fontId="31" fillId="0" borderId="11" xfId="0" applyNumberFormat="1" applyFont="1" applyBorder="1" applyAlignment="1">
      <alignment vertical="top" wrapText="1"/>
    </xf>
    <xf numFmtId="0" fontId="36" fillId="0" borderId="0" xfId="0" applyFont="1" applyAlignment="1">
      <alignment vertical="top" wrapText="1"/>
    </xf>
    <xf numFmtId="0" fontId="47" fillId="0" borderId="11" xfId="0" applyFont="1" applyBorder="1" applyAlignment="1">
      <alignment vertical="top" wrapText="1"/>
    </xf>
    <xf numFmtId="4" fontId="47" fillId="0" borderId="11" xfId="0" applyNumberFormat="1" applyFont="1" applyBorder="1" applyAlignment="1"/>
    <xf numFmtId="0" fontId="48" fillId="0" borderId="11" xfId="0" applyFont="1" applyBorder="1" applyAlignment="1">
      <alignment vertical="top" wrapText="1"/>
    </xf>
    <xf numFmtId="4" fontId="48" fillId="0" borderId="11" xfId="0" applyNumberFormat="1" applyFont="1" applyBorder="1" applyAlignment="1"/>
    <xf numFmtId="0" fontId="49" fillId="0" borderId="11" xfId="0" applyFont="1" applyBorder="1" applyAlignment="1">
      <alignment vertical="top" wrapText="1"/>
    </xf>
    <xf numFmtId="0" fontId="34" fillId="0" borderId="0" xfId="0" applyFont="1" applyBorder="1" applyAlignment="1">
      <alignment vertical="top" wrapText="1"/>
    </xf>
    <xf numFmtId="4" fontId="34" fillId="0" borderId="0" xfId="0" applyNumberFormat="1" applyFont="1" applyBorder="1" applyAlignment="1"/>
    <xf numFmtId="4" fontId="0" fillId="0" borderId="0" xfId="0" applyNumberFormat="1" applyBorder="1" applyAlignment="1"/>
    <xf numFmtId="0" fontId="50" fillId="0" borderId="11" xfId="0" applyFont="1" applyBorder="1" applyAlignment="1">
      <alignment vertical="top" wrapText="1"/>
    </xf>
    <xf numFmtId="1" fontId="32" fillId="0" borderId="11" xfId="0" applyNumberFormat="1" applyFont="1" applyBorder="1" applyAlignment="1"/>
    <xf numFmtId="1" fontId="49" fillId="0" borderId="11" xfId="0" applyNumberFormat="1" applyFont="1" applyBorder="1" applyAlignment="1"/>
    <xf numFmtId="0" fontId="51" fillId="0" borderId="11" xfId="0" applyFont="1" applyBorder="1" applyAlignment="1">
      <alignment vertical="top" wrapText="1"/>
    </xf>
    <xf numFmtId="2" fontId="51" fillId="0" borderId="11" xfId="0" applyNumberFormat="1" applyFont="1" applyBorder="1" applyAlignment="1"/>
    <xf numFmtId="0" fontId="36" fillId="0" borderId="11" xfId="0" applyFont="1" applyBorder="1" applyAlignment="1">
      <alignment vertical="top" wrapText="1"/>
    </xf>
    <xf numFmtId="0" fontId="52" fillId="0" borderId="11" xfId="0" applyFont="1" applyBorder="1" applyAlignment="1">
      <alignment vertical="top" wrapText="1"/>
    </xf>
    <xf numFmtId="0" fontId="53" fillId="0" borderId="11" xfId="0" applyFont="1" applyBorder="1" applyAlignment="1">
      <alignment vertical="top" wrapText="1"/>
    </xf>
    <xf numFmtId="164" fontId="36" fillId="0" borderId="0" xfId="0" applyNumberFormat="1" applyFont="1" applyAlignment="1">
      <alignment vertical="top" wrapText="1"/>
    </xf>
    <xf numFmtId="0" fontId="30" fillId="0" borderId="11" xfId="0" applyFont="1" applyBorder="1" applyAlignment="1">
      <alignment vertical="top" wrapText="1"/>
    </xf>
    <xf numFmtId="0" fontId="0" fillId="0" borderId="11" xfId="0" applyBorder="1" applyAlignment="1">
      <alignment horizontal="right"/>
    </xf>
    <xf numFmtId="3" fontId="0" fillId="0" borderId="11" xfId="0" applyNumberFormat="1" applyBorder="1" applyAlignment="1">
      <alignment horizontal="right" vertical="top"/>
    </xf>
    <xf numFmtId="3" fontId="30" fillId="0" borderId="11" xfId="0" applyNumberFormat="1" applyFont="1" applyBorder="1" applyAlignment="1">
      <alignment horizontal="right" vertical="top"/>
    </xf>
    <xf numFmtId="165" fontId="31" fillId="0" borderId="0" xfId="0" applyNumberFormat="1" applyFont="1" applyAlignment="1"/>
    <xf numFmtId="0" fontId="54" fillId="0" borderId="0" xfId="0" applyFont="1" applyAlignment="1"/>
    <xf numFmtId="2" fontId="31" fillId="0" borderId="0" xfId="0" applyNumberFormat="1" applyFont="1" applyAlignment="1"/>
    <xf numFmtId="0" fontId="50" fillId="0" borderId="0" xfId="0" applyFont="1" applyAlignment="1"/>
    <xf numFmtId="168" fontId="50" fillId="0" borderId="0" xfId="0" applyNumberFormat="1" applyFont="1" applyAlignment="1"/>
    <xf numFmtId="2" fontId="50" fillId="0" borderId="0" xfId="0" applyNumberFormat="1" applyFont="1" applyAlignment="1"/>
    <xf numFmtId="1" fontId="31" fillId="0" borderId="0" xfId="0" applyNumberFormat="1" applyFont="1" applyAlignment="1"/>
    <xf numFmtId="165" fontId="31" fillId="0" borderId="0" xfId="0" applyNumberFormat="1" applyFont="1" applyBorder="1" applyAlignment="1">
      <alignment vertical="top" wrapText="1"/>
    </xf>
    <xf numFmtId="0" fontId="31" fillId="0" borderId="15" xfId="0" applyFont="1" applyBorder="1" applyAlignment="1">
      <alignment vertical="top" wrapText="1"/>
    </xf>
    <xf numFmtId="9" fontId="31" fillId="0" borderId="11" xfId="0" applyNumberFormat="1" applyFont="1" applyFill="1" applyBorder="1" applyAlignment="1">
      <alignment vertical="top" wrapText="1"/>
    </xf>
    <xf numFmtId="2" fontId="31" fillId="0" borderId="11" xfId="0" applyNumberFormat="1" applyFont="1" applyBorder="1" applyAlignment="1"/>
    <xf numFmtId="2" fontId="55" fillId="0" borderId="11" xfId="0" applyNumberFormat="1" applyFont="1" applyBorder="1" applyAlignment="1"/>
    <xf numFmtId="2" fontId="31" fillId="0" borderId="0" xfId="0" applyNumberFormat="1" applyFont="1" applyFill="1" applyBorder="1" applyAlignment="1">
      <alignment vertical="top" wrapText="1"/>
    </xf>
    <xf numFmtId="2" fontId="31" fillId="0" borderId="0" xfId="0" applyNumberFormat="1" applyFont="1" applyAlignment="1">
      <alignment vertical="top" wrapText="1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 vertical="top"/>
    </xf>
    <xf numFmtId="0" fontId="31" fillId="0" borderId="15" xfId="0" applyFont="1" applyBorder="1" applyAlignment="1">
      <alignment horizontal="right"/>
    </xf>
    <xf numFmtId="0" fontId="31" fillId="0" borderId="27" xfId="0" applyFont="1" applyBorder="1" applyAlignment="1">
      <alignment horizontal="right"/>
    </xf>
    <xf numFmtId="0" fontId="31" fillId="0" borderId="11" xfId="0" applyFont="1" applyBorder="1" applyAlignment="1">
      <alignment horizontal="right"/>
    </xf>
    <xf numFmtId="3" fontId="31" fillId="0" borderId="11" xfId="0" applyNumberFormat="1" applyFont="1" applyBorder="1" applyAlignment="1">
      <alignment horizontal="right" vertical="top"/>
    </xf>
    <xf numFmtId="0" fontId="36" fillId="0" borderId="15" xfId="0" applyFont="1" applyBorder="1" applyAlignment="1">
      <alignment vertical="top" wrapText="1"/>
    </xf>
    <xf numFmtId="11" fontId="55" fillId="0" borderId="11" xfId="0" applyNumberFormat="1" applyFont="1" applyBorder="1" applyAlignment="1">
      <alignment vertical="top"/>
    </xf>
    <xf numFmtId="169" fontId="32" fillId="0" borderId="11" xfId="0" applyNumberFormat="1" applyFont="1" applyBorder="1" applyAlignment="1">
      <alignment vertical="top" wrapText="1"/>
    </xf>
    <xf numFmtId="11" fontId="0" fillId="0" borderId="0" xfId="0" applyNumberFormat="1" applyAlignment="1"/>
    <xf numFmtId="0" fontId="31" fillId="0" borderId="28" xfId="0" applyFont="1" applyBorder="1" applyAlignment="1">
      <alignment vertical="top" wrapText="1"/>
    </xf>
    <xf numFmtId="11" fontId="31" fillId="0" borderId="28" xfId="0" applyNumberFormat="1" applyFont="1" applyBorder="1" applyAlignment="1">
      <alignment vertical="top" wrapText="1"/>
    </xf>
    <xf numFmtId="0" fontId="31" fillId="0" borderId="14" xfId="0" applyFont="1" applyBorder="1" applyAlignment="1">
      <alignment vertical="top" wrapText="1"/>
    </xf>
    <xf numFmtId="11" fontId="31" fillId="0" borderId="14" xfId="0" applyNumberFormat="1" applyFont="1" applyBorder="1" applyAlignment="1">
      <alignment vertical="top" wrapText="1"/>
    </xf>
    <xf numFmtId="11" fontId="31" fillId="0" borderId="15" xfId="0" applyNumberFormat="1" applyFont="1" applyBorder="1" applyAlignment="1">
      <alignment vertical="top" wrapText="1"/>
    </xf>
    <xf numFmtId="11" fontId="31" fillId="0" borderId="29" xfId="0" applyNumberFormat="1" applyFont="1" applyBorder="1" applyAlignment="1">
      <alignment vertical="top" wrapText="1"/>
    </xf>
    <xf numFmtId="0" fontId="31" fillId="0" borderId="15" xfId="0" applyFont="1" applyBorder="1" applyAlignment="1"/>
    <xf numFmtId="11" fontId="31" fillId="0" borderId="30" xfId="0" applyNumberFormat="1" applyFont="1" applyBorder="1" applyAlignment="1">
      <alignment vertical="top" wrapText="1"/>
    </xf>
    <xf numFmtId="2" fontId="31" fillId="0" borderId="15" xfId="0" applyNumberFormat="1" applyFont="1" applyBorder="1" applyAlignment="1">
      <alignment vertical="top" wrapText="1"/>
    </xf>
    <xf numFmtId="164" fontId="32" fillId="0" borderId="11" xfId="0" applyNumberFormat="1" applyFont="1" applyBorder="1" applyAlignment="1">
      <alignment vertical="top" wrapText="1"/>
    </xf>
    <xf numFmtId="11" fontId="31" fillId="0" borderId="15" xfId="0" applyNumberFormat="1" applyFont="1" applyBorder="1" applyAlignment="1"/>
    <xf numFmtId="0" fontId="45" fillId="0" borderId="0" xfId="0" applyNumberFormat="1" applyFont="1" applyBorder="1" applyAlignment="1">
      <alignment vertical="top"/>
    </xf>
    <xf numFmtId="0" fontId="3" fillId="20" borderId="0" xfId="0" applyNumberFormat="1" applyFont="1" applyFill="1" applyBorder="1" applyAlignment="1">
      <alignment vertical="top"/>
    </xf>
    <xf numFmtId="0" fontId="56" fillId="0" borderId="11" xfId="0" applyNumberFormat="1" applyFont="1" applyBorder="1" applyAlignment="1">
      <alignment vertical="top" wrapText="1"/>
    </xf>
    <xf numFmtId="0" fontId="56" fillId="0" borderId="11" xfId="0" applyNumberFormat="1" applyFont="1" applyBorder="1" applyAlignment="1">
      <alignment vertical="top"/>
    </xf>
    <xf numFmtId="0" fontId="56" fillId="20" borderId="11" xfId="0" applyNumberFormat="1" applyFont="1" applyFill="1" applyBorder="1" applyAlignment="1">
      <alignment vertical="top"/>
    </xf>
    <xf numFmtId="0" fontId="56" fillId="20" borderId="11" xfId="0" applyNumberFormat="1" applyFont="1" applyFill="1" applyBorder="1" applyAlignment="1">
      <alignment vertical="top" wrapText="1"/>
    </xf>
    <xf numFmtId="3" fontId="56" fillId="20" borderId="11" xfId="0" applyNumberFormat="1" applyFont="1" applyFill="1" applyBorder="1" applyAlignment="1">
      <alignment vertical="top"/>
    </xf>
    <xf numFmtId="0" fontId="56" fillId="20" borderId="10" xfId="0" applyNumberFormat="1" applyFont="1" applyFill="1" applyBorder="1" applyAlignment="1"/>
    <xf numFmtId="0" fontId="56" fillId="20" borderId="9" xfId="0" applyNumberFormat="1" applyFont="1" applyFill="1" applyBorder="1" applyAlignment="1"/>
    <xf numFmtId="0" fontId="56" fillId="20" borderId="11" xfId="0" applyNumberFormat="1" applyFont="1" applyFill="1" applyBorder="1" applyAlignment="1"/>
    <xf numFmtId="0" fontId="57" fillId="0" borderId="11" xfId="0" applyNumberFormat="1" applyFont="1" applyBorder="1" applyAlignment="1">
      <alignment vertical="top"/>
    </xf>
    <xf numFmtId="0" fontId="3" fillId="20" borderId="9" xfId="0" applyNumberFormat="1" applyFont="1" applyFill="1" applyBorder="1" applyAlignment="1">
      <alignment vertical="top" wrapText="1"/>
    </xf>
    <xf numFmtId="0" fontId="3" fillId="20" borderId="0" xfId="0" applyNumberFormat="1" applyFont="1" applyFill="1" applyBorder="1" applyAlignment="1"/>
    <xf numFmtId="11" fontId="34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2" fontId="34" fillId="0" borderId="0" xfId="0" applyNumberFormat="1" applyFont="1" applyAlignment="1">
      <alignment vertical="top" wrapText="1"/>
    </xf>
    <xf numFmtId="2" fontId="44" fillId="0" borderId="0" xfId="0" applyNumberFormat="1" applyFont="1" applyAlignment="1">
      <alignment vertical="top" wrapText="1"/>
    </xf>
    <xf numFmtId="2" fontId="0" fillId="0" borderId="0" xfId="0" applyNumberFormat="1" applyAlignment="1">
      <alignment vertical="top" wrapText="1"/>
    </xf>
    <xf numFmtId="11" fontId="0" fillId="0" borderId="0" xfId="0" applyNumberFormat="1" applyAlignment="1">
      <alignment vertical="top"/>
    </xf>
    <xf numFmtId="0" fontId="0" fillId="0" borderId="0" xfId="0" applyAlignment="1">
      <alignment wrapText="1"/>
    </xf>
    <xf numFmtId="11" fontId="0" fillId="0" borderId="0" xfId="0" applyNumberFormat="1" applyAlignment="1">
      <alignment wrapText="1"/>
    </xf>
    <xf numFmtId="11" fontId="0" fillId="0" borderId="0" xfId="0" applyNumberFormat="1" applyAlignment="1">
      <alignment vertical="top" wrapText="1"/>
    </xf>
    <xf numFmtId="2" fontId="34" fillId="0" borderId="0" xfId="0" applyNumberFormat="1" applyFont="1" applyAlignment="1"/>
    <xf numFmtId="0" fontId="59" fillId="20" borderId="9" xfId="0" applyNumberFormat="1" applyFont="1" applyFill="1" applyBorder="1" applyAlignment="1"/>
    <xf numFmtId="0" fontId="60" fillId="20" borderId="9" xfId="0" applyNumberFormat="1" applyFont="1" applyFill="1" applyBorder="1" applyAlignment="1"/>
    <xf numFmtId="0" fontId="59" fillId="0" borderId="0" xfId="0" applyNumberFormat="1" applyFont="1" applyAlignment="1">
      <alignment vertical="top"/>
    </xf>
    <xf numFmtId="164" fontId="34" fillId="0" borderId="0" xfId="0" applyNumberFormat="1" applyFont="1" applyAlignment="1">
      <alignment vertical="top" wrapText="1"/>
    </xf>
    <xf numFmtId="0" fontId="34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7" fillId="0" borderId="0" xfId="0" applyNumberFormat="1" applyFont="1" applyBorder="1" applyAlignment="1">
      <alignment vertical="top" wrapText="1"/>
    </xf>
    <xf numFmtId="0" fontId="13" fillId="20" borderId="31" xfId="0" applyNumberFormat="1" applyFont="1" applyFill="1" applyBorder="1" applyAlignment="1">
      <alignment horizontal="center" vertical="top" wrapText="1"/>
    </xf>
    <xf numFmtId="0" fontId="13" fillId="20" borderId="32" xfId="0" applyNumberFormat="1" applyFont="1" applyFill="1" applyBorder="1" applyAlignment="1">
      <alignment horizontal="center" vertical="top" wrapText="1"/>
    </xf>
    <xf numFmtId="0" fontId="13" fillId="20" borderId="33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Border="1" applyAlignment="1"/>
    <xf numFmtId="0" fontId="0" fillId="0" borderId="34" xfId="0" applyBorder="1" applyAlignment="1">
      <alignment vertical="top" wrapText="1"/>
    </xf>
    <xf numFmtId="0" fontId="0" fillId="0" borderId="0" xfId="0" applyAlignment="1">
      <alignment vertical="top" wrapText="1"/>
    </xf>
    <xf numFmtId="0" fontId="40" fillId="0" borderId="35" xfId="0" applyFont="1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31" fillId="0" borderId="0" xfId="0" applyFont="1" applyFill="1" applyBorder="1" applyAlignment="1">
      <alignment vertical="top" wrapText="1"/>
    </xf>
    <xf numFmtId="0" fontId="34" fillId="0" borderId="0" xfId="0" applyFont="1" applyAlignment="1"/>
    <xf numFmtId="0" fontId="31" fillId="0" borderId="36" xfId="0" applyFont="1" applyFill="1" applyBorder="1" applyAlignment="1">
      <alignment vertical="top" wrapText="1"/>
    </xf>
    <xf numFmtId="0" fontId="0" fillId="0" borderId="0" xfId="0" applyAlignment="1"/>
    <xf numFmtId="0" fontId="31" fillId="0" borderId="35" xfId="0" applyFont="1" applyBorder="1" applyAlignment="1">
      <alignment vertical="top" wrapText="1"/>
    </xf>
    <xf numFmtId="0" fontId="31" fillId="0" borderId="0" xfId="0" applyFont="1" applyAlignment="1">
      <alignment vertical="top" wrapText="1"/>
    </xf>
    <xf numFmtId="0" fontId="31" fillId="0" borderId="34" xfId="0" applyFont="1" applyBorder="1" applyAlignment="1">
      <alignment vertical="top" wrapText="1"/>
    </xf>
    <xf numFmtId="0" fontId="36" fillId="0" borderId="0" xfId="0" applyFont="1" applyAlignment="1">
      <alignment vertical="top" wrapText="1"/>
    </xf>
    <xf numFmtId="0" fontId="36" fillId="0" borderId="37" xfId="0" applyFont="1" applyFill="1" applyBorder="1" applyAlignment="1">
      <alignment vertical="top" wrapText="1"/>
    </xf>
    <xf numFmtId="0" fontId="27" fillId="0" borderId="0" xfId="0" applyFont="1" applyAlignment="1"/>
    <xf numFmtId="0" fontId="36" fillId="0" borderId="0" xfId="0" applyFont="1" applyAlignment="1"/>
    <xf numFmtId="0" fontId="37" fillId="0" borderId="37" xfId="0" applyFont="1" applyFill="1" applyBorder="1" applyAlignment="1">
      <alignment vertical="top" wrapText="1"/>
    </xf>
    <xf numFmtId="0" fontId="19" fillId="0" borderId="0" xfId="0" applyFont="1" applyAlignment="1"/>
    <xf numFmtId="0" fontId="37" fillId="0" borderId="15" xfId="0" applyFont="1" applyFill="1" applyBorder="1" applyAlignment="1">
      <alignment vertical="top" wrapText="1"/>
    </xf>
    <xf numFmtId="0" fontId="0" fillId="0" borderId="38" xfId="0" applyBorder="1" applyAlignment="1"/>
    <xf numFmtId="0" fontId="37" fillId="0" borderId="29" xfId="0" applyFont="1" applyFill="1" applyBorder="1" applyAlignment="1">
      <alignment vertical="top" wrapText="1"/>
    </xf>
    <xf numFmtId="0" fontId="0" fillId="0" borderId="34" xfId="0" applyBorder="1" applyAlignment="1"/>
    <xf numFmtId="0" fontId="37" fillId="0" borderId="30" xfId="0" applyFont="1" applyFill="1" applyBorder="1" applyAlignment="1">
      <alignment vertical="top" wrapText="1"/>
    </xf>
    <xf numFmtId="0" fontId="19" fillId="0" borderId="35" xfId="0" applyFont="1" applyBorder="1" applyAlignment="1">
      <alignment wrapText="1"/>
    </xf>
    <xf numFmtId="0" fontId="0" fillId="0" borderId="15" xfId="0" applyBorder="1" applyAlignment="1">
      <alignment horizontal="right"/>
    </xf>
    <xf numFmtId="0" fontId="0" fillId="0" borderId="27" xfId="0" applyBorder="1" applyAlignment="1">
      <alignment horizontal="right"/>
    </xf>
    <xf numFmtId="0" fontId="36" fillId="0" borderId="0" xfId="0" applyFont="1" applyFill="1" applyBorder="1" applyAlignment="1">
      <alignment vertical="top" wrapText="1"/>
    </xf>
    <xf numFmtId="0" fontId="37" fillId="0" borderId="0" xfId="0" applyFont="1" applyAlignment="1">
      <alignment vertical="top" wrapText="1"/>
    </xf>
    <xf numFmtId="0" fontId="0" fillId="0" borderId="0" xfId="0" applyAlignment="1">
      <alignment vertical="top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FF0000"/>
      <rgbColor rgb="00CCCCCC"/>
      <rgbColor rgb="00FFFFCC"/>
      <rgbColor rgb="00000080"/>
      <rgbColor rgb="000066CC"/>
      <rgbColor rgb="00CCCCFF"/>
      <rgbColor rgb="0000CCFF"/>
      <rgbColor rgb="00CCFFCC"/>
      <rgbColor rgb="00FFFF99"/>
      <rgbColor rgb="00660066"/>
      <rgbColor rgb="00FF8080"/>
      <rgbColor rgb="003F77BE"/>
      <rgbColor rgb="007CC861"/>
      <rgbColor rgb="00FFB143"/>
      <rgbColor rgb="00EF383C"/>
      <rgbColor rgb="009D56AB"/>
      <rgbColor rgb="00AEB2B1"/>
      <rgbColor rgb="009999FF"/>
      <rgbColor rgb="00993366"/>
      <rgbColor rgb="00CCFFFF"/>
      <rgbColor rgb="0099CCFF"/>
      <rgbColor rgb="00FF99CC"/>
      <rgbColor rgb="00CC99FF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456386128700302"/>
          <c:y val="3.315941847352271E-2"/>
          <c:w val="0.76989025530408928"/>
          <c:h val="0.52344575017072204"/>
        </c:manualLayout>
      </c:layout>
      <c:lineChart>
        <c:grouping val="standard"/>
        <c:ser>
          <c:idx val="0"/>
          <c:order val="0"/>
          <c:tx>
            <c:strRef>
              <c:f>'General metal graphs'!$B$3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'General metal graphs'!$A$11:$A$27</c:f>
              <c:numCache>
                <c:formatCode>General</c:formatCode>
                <c:ptCount val="1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</c:numCache>
            </c:numRef>
          </c:cat>
          <c:val>
            <c:numRef>
              <c:f>'General metal graphs'!$B$11:$B$27</c:f>
              <c:numCache>
                <c:formatCode>General</c:formatCode>
                <c:ptCount val="17"/>
                <c:pt idx="0">
                  <c:v>18.8</c:v>
                </c:pt>
                <c:pt idx="1">
                  <c:v>17.3</c:v>
                </c:pt>
                <c:pt idx="2">
                  <c:v>16.3</c:v>
                </c:pt>
                <c:pt idx="3">
                  <c:v>15.1</c:v>
                </c:pt>
                <c:pt idx="4">
                  <c:v>13.4</c:v>
                </c:pt>
                <c:pt idx="5">
                  <c:v>11.6</c:v>
                </c:pt>
                <c:pt idx="6">
                  <c:v>13.1</c:v>
                </c:pt>
                <c:pt idx="7">
                  <c:v>13.8</c:v>
                </c:pt>
                <c:pt idx="8">
                  <c:v>13.2</c:v>
                </c:pt>
                <c:pt idx="9">
                  <c:v>13.9</c:v>
                </c:pt>
                <c:pt idx="10">
                  <c:v>14.2</c:v>
                </c:pt>
                <c:pt idx="11">
                  <c:v>13.5</c:v>
                </c:pt>
                <c:pt idx="12">
                  <c:v>10.1</c:v>
                </c:pt>
                <c:pt idx="13">
                  <c:v>9.6999999999999993</c:v>
                </c:pt>
                <c:pt idx="14">
                  <c:v>9.5</c:v>
                </c:pt>
                <c:pt idx="15">
                  <c:v>9.6</c:v>
                </c:pt>
                <c:pt idx="16">
                  <c:v>11.9</c:v>
                </c:pt>
              </c:numCache>
            </c:numRef>
          </c:val>
        </c:ser>
        <c:ser>
          <c:idx val="1"/>
          <c:order val="1"/>
          <c:tx>
            <c:strRef>
              <c:f>'General metal graphs'!$C$3</c:f>
              <c:strCache>
                <c:ptCount val="1"/>
                <c:pt idx="0">
                  <c:v>Basic Oxygen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'General metal graphs'!$A$11:$A$27</c:f>
              <c:numCache>
                <c:formatCode>General</c:formatCode>
                <c:ptCount val="1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</c:numCache>
            </c:numRef>
          </c:cat>
          <c:val>
            <c:numRef>
              <c:f>'General metal graphs'!$C$11:$C$27</c:f>
              <c:numCache>
                <c:formatCode>General</c:formatCode>
                <c:ptCount val="17"/>
                <c:pt idx="0">
                  <c:v>14</c:v>
                </c:pt>
                <c:pt idx="1">
                  <c:v>13.4</c:v>
                </c:pt>
                <c:pt idx="2">
                  <c:v>12.5</c:v>
                </c:pt>
                <c:pt idx="3">
                  <c:v>11.6</c:v>
                </c:pt>
                <c:pt idx="4">
                  <c:v>10.3</c:v>
                </c:pt>
                <c:pt idx="5">
                  <c:v>9</c:v>
                </c:pt>
                <c:pt idx="6">
                  <c:v>10.6</c:v>
                </c:pt>
                <c:pt idx="7">
                  <c:v>10.7</c:v>
                </c:pt>
                <c:pt idx="8">
                  <c:v>10.6</c:v>
                </c:pt>
                <c:pt idx="9">
                  <c:v>11.2</c:v>
                </c:pt>
                <c:pt idx="10">
                  <c:v>11.4</c:v>
                </c:pt>
                <c:pt idx="11">
                  <c:v>10.5</c:v>
                </c:pt>
                <c:pt idx="12">
                  <c:v>8</c:v>
                </c:pt>
                <c:pt idx="13">
                  <c:v>7.3</c:v>
                </c:pt>
                <c:pt idx="14">
                  <c:v>6.9</c:v>
                </c:pt>
                <c:pt idx="15">
                  <c:v>7.5</c:v>
                </c:pt>
                <c:pt idx="16">
                  <c:v>9.9</c:v>
                </c:pt>
              </c:numCache>
            </c:numRef>
          </c:val>
        </c:ser>
        <c:ser>
          <c:idx val="2"/>
          <c:order val="2"/>
          <c:tx>
            <c:strRef>
              <c:f>'General metal graphs'!$D$3</c:f>
              <c:strCache>
                <c:ptCount val="1"/>
                <c:pt idx="0">
                  <c:v>Electric Arc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'General metal graphs'!$A$11:$A$27</c:f>
              <c:numCache>
                <c:formatCode>General</c:formatCode>
                <c:ptCount val="1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</c:numCache>
            </c:numRef>
          </c:cat>
          <c:val>
            <c:numRef>
              <c:f>'General metal graphs'!$D$11:$D$27</c:f>
              <c:numCache>
                <c:formatCode>General</c:formatCode>
                <c:ptCount val="17"/>
                <c:pt idx="0">
                  <c:v>4.5</c:v>
                </c:pt>
                <c:pt idx="1">
                  <c:v>3.9</c:v>
                </c:pt>
                <c:pt idx="2">
                  <c:v>3.8</c:v>
                </c:pt>
                <c:pt idx="3">
                  <c:v>3.5</c:v>
                </c:pt>
                <c:pt idx="4">
                  <c:v>3.1</c:v>
                </c:pt>
                <c:pt idx="5">
                  <c:v>2.6</c:v>
                </c:pt>
                <c:pt idx="6">
                  <c:v>2.5</c:v>
                </c:pt>
                <c:pt idx="7">
                  <c:v>3.1</c:v>
                </c:pt>
                <c:pt idx="8">
                  <c:v>2.7</c:v>
                </c:pt>
                <c:pt idx="9">
                  <c:v>2.7</c:v>
                </c:pt>
                <c:pt idx="10">
                  <c:v>3</c:v>
                </c:pt>
                <c:pt idx="11">
                  <c:v>3</c:v>
                </c:pt>
                <c:pt idx="12">
                  <c:v>2.1</c:v>
                </c:pt>
                <c:pt idx="13">
                  <c:v>2.4</c:v>
                </c:pt>
                <c:pt idx="14">
                  <c:v>2.5</c:v>
                </c:pt>
                <c:pt idx="15">
                  <c:v>2.1</c:v>
                </c:pt>
                <c:pt idx="16">
                  <c:v>1.9</c:v>
                </c:pt>
              </c:numCache>
            </c:numRef>
          </c:val>
        </c:ser>
        <c:marker val="1"/>
        <c:axId val="52527872"/>
        <c:axId val="52529792"/>
      </c:lineChart>
      <c:catAx>
        <c:axId val="525278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b="0"/>
                  <a:t>Year</a:t>
                </a:r>
              </a:p>
            </c:rich>
          </c:tx>
          <c:layout>
            <c:manualLayout>
              <c:xMode val="edge"/>
              <c:yMode val="edge"/>
              <c:x val="0.52275675218017104"/>
              <c:y val="0.78296041370114766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529792"/>
        <c:crosses val="autoZero"/>
        <c:auto val="1"/>
        <c:lblAlgn val="ctr"/>
        <c:lblOffset val="100"/>
        <c:tickLblSkip val="1"/>
        <c:tickMarkSkip val="1"/>
      </c:catAx>
      <c:valAx>
        <c:axId val="5252979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en-GB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b="0"/>
                  <a:t>Million tonne</a:t>
                </a:r>
              </a:p>
            </c:rich>
          </c:tx>
          <c:layout>
            <c:manualLayout>
              <c:xMode val="edge"/>
              <c:yMode val="edge"/>
              <c:x val="2.0979171958343916E-2"/>
              <c:y val="0.4057973416938443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527872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2898075496740446"/>
          <c:y val="1.6291723677092945E-2"/>
          <c:w val="0.57361908107897097"/>
          <c:h val="9.309556386910254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spPr>
        <a:noFill/>
        <a:ln w="25400">
          <a:noFill/>
        </a:ln>
      </c:spPr>
      <c:txPr>
        <a:bodyPr/>
        <a:lstStyle/>
        <a:p>
          <a:pPr>
            <a:defRPr lang="en-GB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7.877457498452084E-2"/>
          <c:y val="0.15849063904529007"/>
          <c:w val="0.73960573179911215"/>
          <c:h val="0.64150972946903106"/>
        </c:manualLayout>
      </c:layout>
      <c:barChart>
        <c:barDir val="col"/>
        <c:grouping val="clustered"/>
        <c:ser>
          <c:idx val="1"/>
          <c:order val="1"/>
          <c:tx>
            <c:strRef>
              <c:f>'General metal graphs'!$I$11</c:f>
              <c:strCache>
                <c:ptCount val="1"/>
                <c:pt idx="0">
                  <c:v>% Import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graphs'!$G$12:$G$27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'General metal graphs'!$I$12:$I$27</c:f>
              <c:numCache>
                <c:formatCode>General</c:formatCode>
                <c:ptCount val="16"/>
                <c:pt idx="0">
                  <c:v>45</c:v>
                </c:pt>
                <c:pt idx="1">
                  <c:v>47</c:v>
                </c:pt>
                <c:pt idx="2">
                  <c:v>49</c:v>
                </c:pt>
                <c:pt idx="3">
                  <c:v>53</c:v>
                </c:pt>
                <c:pt idx="4">
                  <c:v>53</c:v>
                </c:pt>
                <c:pt idx="5">
                  <c:v>53</c:v>
                </c:pt>
                <c:pt idx="6">
                  <c:v>51</c:v>
                </c:pt>
                <c:pt idx="7">
                  <c:v>50</c:v>
                </c:pt>
                <c:pt idx="8">
                  <c:v>52</c:v>
                </c:pt>
                <c:pt idx="9">
                  <c:v>55</c:v>
                </c:pt>
                <c:pt idx="10">
                  <c:v>52</c:v>
                </c:pt>
                <c:pt idx="11">
                  <c:v>47</c:v>
                </c:pt>
                <c:pt idx="12">
                  <c:v>52</c:v>
                </c:pt>
                <c:pt idx="13">
                  <c:v>54</c:v>
                </c:pt>
                <c:pt idx="14">
                  <c:v>57</c:v>
                </c:pt>
                <c:pt idx="15">
                  <c:v>56</c:v>
                </c:pt>
              </c:numCache>
            </c:numRef>
          </c:val>
        </c:ser>
        <c:axId val="53179904"/>
        <c:axId val="53181440"/>
      </c:barChart>
      <c:lineChart>
        <c:grouping val="standard"/>
        <c:ser>
          <c:idx val="0"/>
          <c:order val="0"/>
          <c:tx>
            <c:strRef>
              <c:f>'General metal graphs'!$H$11</c:f>
              <c:strCache>
                <c:ptCount val="1"/>
                <c:pt idx="0">
                  <c:v>Demand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'General metal graphs'!$G$12:$G$27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'General metal graphs'!$H$12:$H$27</c:f>
              <c:numCache>
                <c:formatCode>General</c:formatCode>
                <c:ptCount val="16"/>
                <c:pt idx="0">
                  <c:v>14.2</c:v>
                </c:pt>
                <c:pt idx="1">
                  <c:v>13.3</c:v>
                </c:pt>
                <c:pt idx="2">
                  <c:v>13</c:v>
                </c:pt>
                <c:pt idx="3">
                  <c:v>13</c:v>
                </c:pt>
                <c:pt idx="4">
                  <c:v>12.5</c:v>
                </c:pt>
                <c:pt idx="5">
                  <c:v>12.7</c:v>
                </c:pt>
                <c:pt idx="6">
                  <c:v>14.2</c:v>
                </c:pt>
                <c:pt idx="7">
                  <c:v>12.4</c:v>
                </c:pt>
                <c:pt idx="8">
                  <c:v>14</c:v>
                </c:pt>
                <c:pt idx="9">
                  <c:v>14.3</c:v>
                </c:pt>
                <c:pt idx="10">
                  <c:v>13</c:v>
                </c:pt>
                <c:pt idx="11">
                  <c:v>7.9</c:v>
                </c:pt>
                <c:pt idx="12">
                  <c:v>9.9</c:v>
                </c:pt>
                <c:pt idx="13">
                  <c:v>10.199999999999999</c:v>
                </c:pt>
                <c:pt idx="14">
                  <c:v>9.6</c:v>
                </c:pt>
                <c:pt idx="15">
                  <c:v>9.6</c:v>
                </c:pt>
              </c:numCache>
            </c:numRef>
          </c:val>
        </c:ser>
        <c:marker val="1"/>
        <c:axId val="53154944"/>
        <c:axId val="53157248"/>
      </c:lineChart>
      <c:catAx>
        <c:axId val="531549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4100607424071991"/>
              <c:y val="0.9228792010754753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157248"/>
        <c:crosses val="autoZero"/>
        <c:auto val="1"/>
        <c:lblAlgn val="ctr"/>
        <c:lblOffset val="100"/>
        <c:tickLblSkip val="1"/>
        <c:tickMarkSkip val="1"/>
      </c:catAx>
      <c:valAx>
        <c:axId val="531572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Thousands of tonne</a:t>
                </a:r>
              </a:p>
            </c:rich>
          </c:tx>
          <c:layout>
            <c:manualLayout>
              <c:xMode val="edge"/>
              <c:yMode val="edge"/>
              <c:x val="0.90618772653418322"/>
              <c:y val="0.4245228858587797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154944"/>
        <c:crosses val="autoZero"/>
        <c:crossBetween val="between"/>
      </c:valAx>
      <c:catAx>
        <c:axId val="53179904"/>
        <c:scaling>
          <c:orientation val="minMax"/>
        </c:scaling>
        <c:delete val="1"/>
        <c:axPos val="b"/>
        <c:numFmt formatCode="General" sourceLinked="1"/>
        <c:tickLblPos val="nextTo"/>
        <c:crossAx val="53181440"/>
        <c:crosses val="autoZero"/>
        <c:auto val="1"/>
        <c:lblAlgn val="ctr"/>
        <c:lblOffset val="100"/>
      </c:catAx>
      <c:valAx>
        <c:axId val="53181440"/>
        <c:scaling>
          <c:orientation val="minMax"/>
        </c:scaling>
        <c:axPos val="r"/>
        <c:numFmt formatCode="General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/>
          <a:lstStyle/>
          <a:p>
            <a:pPr>
              <a:defRPr lang="en-GB"/>
            </a:pPr>
            <a:endParaRPr lang="en-US"/>
          </a:p>
        </c:txPr>
        <c:crossAx val="53179904"/>
        <c:crosses val="max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35116468588327698"/>
          <c:y val="1.7312504226685604E-2"/>
          <c:w val="0.41724406225916244"/>
          <c:h val="0.1286071742553787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4099771879629805"/>
          <c:y val="0.25764205873557494"/>
          <c:w val="0.84164792143020706"/>
          <c:h val="0.57641952123891294"/>
        </c:manualLayout>
      </c:layout>
      <c:barChart>
        <c:barDir val="col"/>
        <c:grouping val="stacked"/>
        <c:ser>
          <c:idx val="0"/>
          <c:order val="0"/>
          <c:tx>
            <c:strRef>
              <c:f>'WAGR  Other Inter''l Results'!$A$3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Results'!$B$2:$F$2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USA</c:v>
                </c:pt>
              </c:strCache>
            </c:strRef>
          </c:cat>
          <c:val>
            <c:numRef>
              <c:f>'WAGR  Other Inter''l Results'!$B$3:$F$3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 Other Inter''l Results'!$A$4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Results'!$B$2:$F$2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USA</c:v>
                </c:pt>
              </c:strCache>
            </c:strRef>
          </c:cat>
          <c:val>
            <c:numRef>
              <c:f>'WAGR  Other Inter''l Results'!$B$4:$F$4</c:f>
              <c:numCache>
                <c:formatCode>0.00E+00</c:formatCode>
                <c:ptCount val="5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</c:numCache>
            </c:numRef>
          </c:val>
        </c:ser>
        <c:ser>
          <c:idx val="2"/>
          <c:order val="2"/>
          <c:tx>
            <c:strRef>
              <c:f>'WAGR  Other Inter''l Results'!$A$5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Results'!$B$2:$F$2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USA</c:v>
                </c:pt>
              </c:strCache>
            </c:strRef>
          </c:cat>
          <c:val>
            <c:numRef>
              <c:f>'WAGR  Other Inter''l Results'!$B$5:$F$5</c:f>
              <c:numCache>
                <c:formatCode>0.00E+00</c:formatCode>
                <c:ptCount val="5"/>
                <c:pt idx="0">
                  <c:v>923</c:v>
                </c:pt>
                <c:pt idx="1">
                  <c:v>923</c:v>
                </c:pt>
                <c:pt idx="2">
                  <c:v>923</c:v>
                </c:pt>
                <c:pt idx="3">
                  <c:v>923</c:v>
                </c:pt>
                <c:pt idx="4">
                  <c:v>923</c:v>
                </c:pt>
              </c:numCache>
            </c:numRef>
          </c:val>
        </c:ser>
        <c:ser>
          <c:idx val="3"/>
          <c:order val="3"/>
          <c:tx>
            <c:strRef>
              <c:f>'WAGR  Other Inter''l Results'!$A$6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Results'!$B$2:$F$2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USA</c:v>
                </c:pt>
              </c:strCache>
            </c:strRef>
          </c:cat>
          <c:val>
            <c:numRef>
              <c:f>'WAGR  Other Inter''l Results'!$B$6:$F$6</c:f>
              <c:numCache>
                <c:formatCode>0.00E+00</c:formatCode>
                <c:ptCount val="5"/>
                <c:pt idx="0">
                  <c:v>5820</c:v>
                </c:pt>
                <c:pt idx="1">
                  <c:v>3813</c:v>
                </c:pt>
                <c:pt idx="2">
                  <c:v>4768</c:v>
                </c:pt>
                <c:pt idx="3">
                  <c:v>3605</c:v>
                </c:pt>
                <c:pt idx="4">
                  <c:v>10290</c:v>
                </c:pt>
              </c:numCache>
            </c:numRef>
          </c:val>
        </c:ser>
        <c:ser>
          <c:idx val="4"/>
          <c:order val="4"/>
          <c:tx>
            <c:strRef>
              <c:f>'WAGR  Other Inter''l Results'!$A$7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Results'!$B$2:$F$2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USA</c:v>
                </c:pt>
              </c:strCache>
            </c:strRef>
          </c:cat>
          <c:val>
            <c:numRef>
              <c:f>'WAGR  Other Inter''l Results'!$B$7:$F$7</c:f>
              <c:numCache>
                <c:formatCode>0.00E+00</c:formatCode>
                <c:ptCount val="5"/>
                <c:pt idx="0">
                  <c:v>3095</c:v>
                </c:pt>
                <c:pt idx="1">
                  <c:v>6400</c:v>
                </c:pt>
                <c:pt idx="2">
                  <c:v>2243</c:v>
                </c:pt>
                <c:pt idx="3">
                  <c:v>5600</c:v>
                </c:pt>
                <c:pt idx="4">
                  <c:v>9796</c:v>
                </c:pt>
              </c:numCache>
            </c:numRef>
          </c:val>
        </c:ser>
        <c:ser>
          <c:idx val="5"/>
          <c:order val="5"/>
          <c:tx>
            <c:strRef>
              <c:f>'WAGR  Other Inter''l Results'!$A$8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Results'!$B$2:$F$2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USA</c:v>
                </c:pt>
              </c:strCache>
            </c:strRef>
          </c:cat>
          <c:val>
            <c:numRef>
              <c:f>'WAGR  Other Inter''l Results'!$B$8:$F$8</c:f>
              <c:numCache>
                <c:formatCode>0.00E+00</c:formatCode>
                <c:ptCount val="5"/>
                <c:pt idx="0">
                  <c:v>3234</c:v>
                </c:pt>
                <c:pt idx="1">
                  <c:v>3234</c:v>
                </c:pt>
                <c:pt idx="2">
                  <c:v>3234</c:v>
                </c:pt>
                <c:pt idx="3">
                  <c:v>3234</c:v>
                </c:pt>
                <c:pt idx="4">
                  <c:v>3234</c:v>
                </c:pt>
              </c:numCache>
            </c:numRef>
          </c:val>
        </c:ser>
        <c:ser>
          <c:idx val="6"/>
          <c:order val="6"/>
          <c:tx>
            <c:strRef>
              <c:f>'WAGR  Other Inter''l Results'!$A$9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Results'!$B$2:$F$2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USA</c:v>
                </c:pt>
              </c:strCache>
            </c:strRef>
          </c:cat>
          <c:val>
            <c:numRef>
              <c:f>'WAGR  Other Inter''l Results'!$B$9:$F$9</c:f>
              <c:numCache>
                <c:formatCode>0.00E+00</c:formatCode>
                <c:ptCount val="5"/>
                <c:pt idx="0">
                  <c:v>4550</c:v>
                </c:pt>
                <c:pt idx="1">
                  <c:v>3570</c:v>
                </c:pt>
                <c:pt idx="2">
                  <c:v>10600</c:v>
                </c:pt>
                <c:pt idx="3">
                  <c:v>10600</c:v>
                </c:pt>
                <c:pt idx="4">
                  <c:v>21700</c:v>
                </c:pt>
              </c:numCache>
            </c:numRef>
          </c:val>
        </c:ser>
        <c:ser>
          <c:idx val="7"/>
          <c:order val="7"/>
          <c:tx>
            <c:strRef>
              <c:f>'WAGR  Other Inter''l Results'!$A$10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Results'!$B$2:$F$2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USA</c:v>
                </c:pt>
              </c:strCache>
            </c:strRef>
          </c:cat>
          <c:val>
            <c:numRef>
              <c:f>'WAGR  Other Inter''l Results'!$B$10:$F$10</c:f>
              <c:numCache>
                <c:formatCode>0.00E+00</c:formatCode>
                <c:ptCount val="5"/>
                <c:pt idx="0">
                  <c:v>3757</c:v>
                </c:pt>
                <c:pt idx="1">
                  <c:v>3757</c:v>
                </c:pt>
                <c:pt idx="2">
                  <c:v>3757</c:v>
                </c:pt>
                <c:pt idx="3">
                  <c:v>3757</c:v>
                </c:pt>
                <c:pt idx="4">
                  <c:v>3757</c:v>
                </c:pt>
              </c:numCache>
            </c:numRef>
          </c:val>
        </c:ser>
        <c:ser>
          <c:idx val="8"/>
          <c:order val="8"/>
          <c:tx>
            <c:strRef>
              <c:f>'WAGR  Other Inter''l Results'!$A$11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Results'!$B$2:$F$2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USA</c:v>
                </c:pt>
              </c:strCache>
            </c:strRef>
          </c:cat>
          <c:val>
            <c:numRef>
              <c:f>'WAGR  Other Inter''l Results'!$B$11:$F$11</c:f>
              <c:numCache>
                <c:formatCode>0.00E+00</c:formatCode>
                <c:ptCount val="5"/>
                <c:pt idx="0">
                  <c:v>-73600</c:v>
                </c:pt>
                <c:pt idx="1">
                  <c:v>-73600</c:v>
                </c:pt>
                <c:pt idx="2">
                  <c:v>-73600</c:v>
                </c:pt>
                <c:pt idx="3">
                  <c:v>-73600</c:v>
                </c:pt>
                <c:pt idx="4">
                  <c:v>-73600</c:v>
                </c:pt>
              </c:numCache>
            </c:numRef>
          </c:val>
        </c:ser>
        <c:ser>
          <c:idx val="9"/>
          <c:order val="9"/>
          <c:tx>
            <c:strRef>
              <c:f>'WAGR  Other Inter''l Results'!$A$12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Results'!$B$2:$F$2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USA</c:v>
                </c:pt>
              </c:strCache>
            </c:strRef>
          </c:cat>
          <c:val>
            <c:numRef>
              <c:f>'WAGR  Other Inter''l Results'!$B$12:$F$12</c:f>
              <c:numCache>
                <c:formatCode>0.00E+00</c:formatCode>
                <c:ptCount val="5"/>
                <c:pt idx="0">
                  <c:v>5252</c:v>
                </c:pt>
                <c:pt idx="1">
                  <c:v>5252</c:v>
                </c:pt>
                <c:pt idx="2">
                  <c:v>5252</c:v>
                </c:pt>
                <c:pt idx="3">
                  <c:v>5252</c:v>
                </c:pt>
                <c:pt idx="4">
                  <c:v>5252</c:v>
                </c:pt>
              </c:numCache>
            </c:numRef>
          </c:val>
        </c:ser>
        <c:ser>
          <c:idx val="10"/>
          <c:order val="10"/>
          <c:tx>
            <c:strRef>
              <c:f>'WAGR  Other Inter''l Results'!$A$13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Results'!$B$2:$F$2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USA</c:v>
                </c:pt>
              </c:strCache>
            </c:strRef>
          </c:cat>
          <c:val>
            <c:numRef>
              <c:f>'WAGR  Other Inter''l Results'!$B$13:$F$13</c:f>
              <c:numCache>
                <c:formatCode>0.00E+00</c:formatCode>
                <c:ptCount val="5"/>
                <c:pt idx="0">
                  <c:v>320.7</c:v>
                </c:pt>
                <c:pt idx="1">
                  <c:v>320.7</c:v>
                </c:pt>
                <c:pt idx="2">
                  <c:v>320.7</c:v>
                </c:pt>
                <c:pt idx="3">
                  <c:v>320.7</c:v>
                </c:pt>
                <c:pt idx="4">
                  <c:v>320.7</c:v>
                </c:pt>
              </c:numCache>
            </c:numRef>
          </c:val>
        </c:ser>
        <c:ser>
          <c:idx val="11"/>
          <c:order val="11"/>
          <c:tx>
            <c:strRef>
              <c:f>'WAGR  Other Inter''l Results'!$A$14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Results'!$B$2:$F$2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USA</c:v>
                </c:pt>
              </c:strCache>
            </c:strRef>
          </c:cat>
          <c:val>
            <c:numRef>
              <c:f>'WAGR  Other Inter''l Results'!$B$14:$F$14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overlap val="100"/>
        <c:axId val="51446912"/>
        <c:axId val="51448832"/>
      </c:barChart>
      <c:catAx>
        <c:axId val="514469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Material and Proces Impacts Internationally</a:t>
                </a:r>
              </a:p>
            </c:rich>
          </c:tx>
          <c:layout>
            <c:manualLayout>
              <c:xMode val="edge"/>
              <c:yMode val="edge"/>
              <c:x val="0.3790849712488229"/>
              <c:y val="0.8864633097333422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448832"/>
        <c:crosses val="autoZero"/>
        <c:auto val="1"/>
        <c:lblAlgn val="ctr"/>
        <c:lblOffset val="100"/>
        <c:tickLblSkip val="1"/>
        <c:tickMarkSkip val="1"/>
      </c:catAx>
      <c:valAx>
        <c:axId val="514488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8322213540101379E-2"/>
              <c:y val="0.3187772116720704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44691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603053435114504"/>
          <c:y val="0.77591036414565828"/>
          <c:w val="0.61641221374045807"/>
          <c:h val="0.1960784313725490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422422808224503"/>
          <c:y val="0.18811892556305002"/>
          <c:w val="0.86637999413325406"/>
          <c:h val="0.62376275318274299"/>
        </c:manualLayout>
      </c:layout>
      <c:barChart>
        <c:barDir val="col"/>
        <c:grouping val="clustered"/>
        <c:ser>
          <c:idx val="0"/>
          <c:order val="0"/>
          <c:tx>
            <c:strRef>
              <c:f>'WAGR  Other Inter''l Results'!$B$18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Results'!$A$19:$A$29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Results'!$B$19:$B$29</c:f>
              <c:numCache>
                <c:formatCode>0.00</c:formatCode>
                <c:ptCount val="11"/>
                <c:pt idx="0">
                  <c:v>21.9</c:v>
                </c:pt>
                <c:pt idx="1">
                  <c:v>4.1599999999999996E-3</c:v>
                </c:pt>
                <c:pt idx="2">
                  <c:v>-130</c:v>
                </c:pt>
                <c:pt idx="3">
                  <c:v>-14.6</c:v>
                </c:pt>
                <c:pt idx="4">
                  <c:v>0.35399999999999998</c:v>
                </c:pt>
                <c:pt idx="5">
                  <c:v>2.8600000000000001E-3</c:v>
                </c:pt>
                <c:pt idx="6">
                  <c:v>10.3</c:v>
                </c:pt>
                <c:pt idx="7">
                  <c:v>-0.67300000000000004</c:v>
                </c:pt>
                <c:pt idx="8">
                  <c:v>-0.26300000000000001</c:v>
                </c:pt>
                <c:pt idx="9">
                  <c:v>-24.8</c:v>
                </c:pt>
                <c:pt idx="10">
                  <c:v>24.7</c:v>
                </c:pt>
              </c:numCache>
            </c:numRef>
          </c:val>
        </c:ser>
        <c:ser>
          <c:idx val="1"/>
          <c:order val="1"/>
          <c:tx>
            <c:strRef>
              <c:f>'WAGR  Other Inter''l Results'!$C$18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Results'!$A$19:$A$29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Results'!$C$19:$C$29</c:f>
              <c:numCache>
                <c:formatCode>0.00</c:formatCode>
                <c:ptCount val="11"/>
                <c:pt idx="0">
                  <c:v>21.4</c:v>
                </c:pt>
                <c:pt idx="1">
                  <c:v>3.3500000000000001E-3</c:v>
                </c:pt>
                <c:pt idx="2">
                  <c:v>-130</c:v>
                </c:pt>
                <c:pt idx="3">
                  <c:v>-14.5</c:v>
                </c:pt>
                <c:pt idx="4">
                  <c:v>0.65200000000000002</c:v>
                </c:pt>
                <c:pt idx="5">
                  <c:v>2.33E-3</c:v>
                </c:pt>
                <c:pt idx="6">
                  <c:v>10.3</c:v>
                </c:pt>
                <c:pt idx="7">
                  <c:v>-0.47299999999999998</c:v>
                </c:pt>
                <c:pt idx="8">
                  <c:v>-0.41299999999999998</c:v>
                </c:pt>
                <c:pt idx="9">
                  <c:v>-24.8</c:v>
                </c:pt>
                <c:pt idx="10">
                  <c:v>25.8</c:v>
                </c:pt>
              </c:numCache>
            </c:numRef>
          </c:val>
        </c:ser>
        <c:ser>
          <c:idx val="2"/>
          <c:order val="2"/>
          <c:tx>
            <c:strRef>
              <c:f>'WAGR  Other Inter''l Results'!$D$18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Results'!$A$19:$A$29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Results'!$D$19:$D$29</c:f>
              <c:numCache>
                <c:formatCode>0.00</c:formatCode>
                <c:ptCount val="11"/>
                <c:pt idx="0">
                  <c:v>22.7</c:v>
                </c:pt>
                <c:pt idx="1">
                  <c:v>7.0099999999999997E-3</c:v>
                </c:pt>
                <c:pt idx="2">
                  <c:v>-132</c:v>
                </c:pt>
                <c:pt idx="3">
                  <c:v>-7.78</c:v>
                </c:pt>
                <c:pt idx="4">
                  <c:v>0.19800000000000001</c:v>
                </c:pt>
                <c:pt idx="5">
                  <c:v>3.48E-3</c:v>
                </c:pt>
                <c:pt idx="6">
                  <c:v>10.199999999999999</c:v>
                </c:pt>
                <c:pt idx="7">
                  <c:v>-0.59699999999999998</c:v>
                </c:pt>
                <c:pt idx="8">
                  <c:v>-0.23</c:v>
                </c:pt>
                <c:pt idx="9">
                  <c:v>-24.8</c:v>
                </c:pt>
                <c:pt idx="10">
                  <c:v>33.700000000000003</c:v>
                </c:pt>
              </c:numCache>
            </c:numRef>
          </c:val>
        </c:ser>
        <c:ser>
          <c:idx val="3"/>
          <c:order val="3"/>
          <c:tx>
            <c:strRef>
              <c:f>'WAGR  Other Inter''l Results'!$E$18</c:f>
              <c:strCache>
                <c:ptCount val="1"/>
                <c:pt idx="0">
                  <c:v>Russian Federation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Results'!$A$19:$A$29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Results'!$E$19:$E$29</c:f>
              <c:numCache>
                <c:formatCode>0.00</c:formatCode>
                <c:ptCount val="11"/>
                <c:pt idx="0">
                  <c:v>22.8</c:v>
                </c:pt>
                <c:pt idx="1">
                  <c:v>8.0000000000000002E-3</c:v>
                </c:pt>
                <c:pt idx="2">
                  <c:v>-128</c:v>
                </c:pt>
                <c:pt idx="3">
                  <c:v>-7.56</c:v>
                </c:pt>
                <c:pt idx="4">
                  <c:v>0.2</c:v>
                </c:pt>
                <c:pt idx="5">
                  <c:v>3.5400000000000002E-3</c:v>
                </c:pt>
                <c:pt idx="6">
                  <c:v>10.3</c:v>
                </c:pt>
                <c:pt idx="7">
                  <c:v>-0.36499999999999999</c:v>
                </c:pt>
                <c:pt idx="8">
                  <c:v>-0.216</c:v>
                </c:pt>
                <c:pt idx="9">
                  <c:v>-24.8</c:v>
                </c:pt>
                <c:pt idx="10">
                  <c:v>35.4</c:v>
                </c:pt>
              </c:numCache>
            </c:numRef>
          </c:val>
        </c:ser>
        <c:ser>
          <c:idx val="4"/>
          <c:order val="4"/>
          <c:tx>
            <c:strRef>
              <c:f>'WAGR  Other Inter''l Results'!$F$18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Results'!$A$19:$A$29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Results'!$F$19:$F$29</c:f>
              <c:numCache>
                <c:formatCode>0.00</c:formatCode>
                <c:ptCount val="11"/>
                <c:pt idx="0">
                  <c:v>24.5</c:v>
                </c:pt>
                <c:pt idx="1">
                  <c:v>2.7900000000000001E-2</c:v>
                </c:pt>
                <c:pt idx="2">
                  <c:v>-98.8</c:v>
                </c:pt>
                <c:pt idx="3">
                  <c:v>-4.12</c:v>
                </c:pt>
                <c:pt idx="4">
                  <c:v>0.13100000000000001</c:v>
                </c:pt>
                <c:pt idx="5">
                  <c:v>4.7099999999999998E-3</c:v>
                </c:pt>
                <c:pt idx="6">
                  <c:v>10.8</c:v>
                </c:pt>
                <c:pt idx="7">
                  <c:v>1.29</c:v>
                </c:pt>
                <c:pt idx="8">
                  <c:v>0.246</c:v>
                </c:pt>
                <c:pt idx="9">
                  <c:v>-24.6</c:v>
                </c:pt>
                <c:pt idx="10">
                  <c:v>71.2</c:v>
                </c:pt>
              </c:numCache>
            </c:numRef>
          </c:val>
        </c:ser>
        <c:axId val="51509120"/>
        <c:axId val="51580928"/>
      </c:barChart>
      <c:catAx>
        <c:axId val="515091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8366027831426733"/>
              <c:y val="0.87064644697190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580928"/>
        <c:crosses val="autoZero"/>
        <c:auto val="1"/>
        <c:lblAlgn val="ctr"/>
        <c:lblOffset val="100"/>
        <c:tickLblSkip val="1"/>
        <c:tickMarkSkip val="1"/>
      </c:catAx>
      <c:valAx>
        <c:axId val="515809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Values</a:t>
                </a:r>
              </a:p>
            </c:rich>
          </c:tx>
          <c:layout>
            <c:manualLayout>
              <c:xMode val="edge"/>
              <c:yMode val="edge"/>
              <c:x val="2.8322487990887931E-2"/>
              <c:y val="0.32338226240238488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50912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911555643015176"/>
          <c:y val="0.77399380804953566"/>
          <c:w val="0.42372959284073541"/>
          <c:h val="8.668730650154798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3695666711602703"/>
          <c:y val="0.19289340101522803"/>
          <c:w val="0.8413052408555971"/>
          <c:h val="0.61421319796954299"/>
        </c:manualLayout>
      </c:layout>
      <c:barChart>
        <c:barDir val="col"/>
        <c:grouping val="clustered"/>
        <c:ser>
          <c:idx val="0"/>
          <c:order val="0"/>
          <c:tx>
            <c:strRef>
              <c:f>'WAGR  Other Inter''l Results'!$B$31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Results'!$A$32:$A$42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Results'!$B$32:$B$42</c:f>
              <c:numCache>
                <c:formatCode>General</c:formatCode>
                <c:ptCount val="11"/>
                <c:pt idx="0" formatCode="0.00E+00">
                  <c:v>8740</c:v>
                </c:pt>
                <c:pt idx="1">
                  <c:v>1.66</c:v>
                </c:pt>
                <c:pt idx="2" formatCode="0.00E+00">
                  <c:v>-52200</c:v>
                </c:pt>
                <c:pt idx="3" formatCode="0.00E+00">
                  <c:v>-5830</c:v>
                </c:pt>
                <c:pt idx="4" formatCode="0.00E+00">
                  <c:v>142</c:v>
                </c:pt>
                <c:pt idx="5">
                  <c:v>1.1399999999999999</c:v>
                </c:pt>
                <c:pt idx="6" formatCode="0.00E+00">
                  <c:v>4110</c:v>
                </c:pt>
                <c:pt idx="7" formatCode="0.00E+00">
                  <c:v>-269</c:v>
                </c:pt>
                <c:pt idx="8" formatCode="0.00E+00">
                  <c:v>-105</c:v>
                </c:pt>
                <c:pt idx="9" formatCode="0.00E+00">
                  <c:v>-4960</c:v>
                </c:pt>
                <c:pt idx="10" formatCode="0.00E+00">
                  <c:v>4940</c:v>
                </c:pt>
              </c:numCache>
            </c:numRef>
          </c:val>
        </c:ser>
        <c:ser>
          <c:idx val="1"/>
          <c:order val="1"/>
          <c:tx>
            <c:strRef>
              <c:f>'WAGR  Other Inter''l Results'!$C$31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Results'!$A$32:$A$42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Results'!$C$32:$C$42</c:f>
              <c:numCache>
                <c:formatCode>General</c:formatCode>
                <c:ptCount val="11"/>
                <c:pt idx="0" formatCode="0.00E+00">
                  <c:v>8570</c:v>
                </c:pt>
                <c:pt idx="1">
                  <c:v>1.34</c:v>
                </c:pt>
                <c:pt idx="2" formatCode="0.00E+00">
                  <c:v>-52100</c:v>
                </c:pt>
                <c:pt idx="3" formatCode="0.00E+00">
                  <c:v>-5780</c:v>
                </c:pt>
                <c:pt idx="4" formatCode="0.00E+00">
                  <c:v>261</c:v>
                </c:pt>
                <c:pt idx="5">
                  <c:v>0.93300000000000005</c:v>
                </c:pt>
                <c:pt idx="6" formatCode="0.00E+00">
                  <c:v>4120</c:v>
                </c:pt>
                <c:pt idx="7" formatCode="0.00E+00">
                  <c:v>-189</c:v>
                </c:pt>
                <c:pt idx="8" formatCode="0.00E+00">
                  <c:v>-165</c:v>
                </c:pt>
                <c:pt idx="9" formatCode="0.00E+00">
                  <c:v>-4960</c:v>
                </c:pt>
                <c:pt idx="10" formatCode="0.00E+00">
                  <c:v>5160</c:v>
                </c:pt>
              </c:numCache>
            </c:numRef>
          </c:val>
        </c:ser>
        <c:ser>
          <c:idx val="2"/>
          <c:order val="2"/>
          <c:tx>
            <c:strRef>
              <c:f>'WAGR  Other Inter''l Results'!$D$31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Results'!$A$32:$A$42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Results'!$D$32:$D$42</c:f>
              <c:numCache>
                <c:formatCode>General</c:formatCode>
                <c:ptCount val="11"/>
                <c:pt idx="0" formatCode="0.00E+00">
                  <c:v>9100</c:v>
                </c:pt>
                <c:pt idx="1">
                  <c:v>2.8</c:v>
                </c:pt>
                <c:pt idx="2" formatCode="0.00E+00">
                  <c:v>-52800</c:v>
                </c:pt>
                <c:pt idx="3" formatCode="0.00E+00">
                  <c:v>-3110</c:v>
                </c:pt>
                <c:pt idx="4" formatCode="0.00E+00">
                  <c:v>79.3</c:v>
                </c:pt>
                <c:pt idx="5">
                  <c:v>1.39</c:v>
                </c:pt>
                <c:pt idx="6" formatCode="0.00E+00">
                  <c:v>4070</c:v>
                </c:pt>
                <c:pt idx="7" formatCode="0.00E+00">
                  <c:v>-239</c:v>
                </c:pt>
                <c:pt idx="8" formatCode="0.00E+00">
                  <c:v>-92.2</c:v>
                </c:pt>
                <c:pt idx="9" formatCode="0.00E+00">
                  <c:v>-4960</c:v>
                </c:pt>
                <c:pt idx="10" formatCode="0.00E+00">
                  <c:v>6740</c:v>
                </c:pt>
              </c:numCache>
            </c:numRef>
          </c:val>
        </c:ser>
        <c:ser>
          <c:idx val="3"/>
          <c:order val="3"/>
          <c:tx>
            <c:strRef>
              <c:f>'WAGR  Other Inter''l Results'!$E$31</c:f>
              <c:strCache>
                <c:ptCount val="1"/>
                <c:pt idx="0">
                  <c:v>Russian Federation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Results'!$A$32:$A$42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Results'!$E$32:$E$42</c:f>
              <c:numCache>
                <c:formatCode>General</c:formatCode>
                <c:ptCount val="11"/>
                <c:pt idx="0" formatCode="0.00E+00">
                  <c:v>9110</c:v>
                </c:pt>
                <c:pt idx="1">
                  <c:v>3.2</c:v>
                </c:pt>
                <c:pt idx="2" formatCode="0.00E+00">
                  <c:v>-51200</c:v>
                </c:pt>
                <c:pt idx="3" formatCode="0.00E+00">
                  <c:v>-3020</c:v>
                </c:pt>
                <c:pt idx="4" formatCode="0.00E+00">
                  <c:v>79.8</c:v>
                </c:pt>
                <c:pt idx="5">
                  <c:v>1.42</c:v>
                </c:pt>
                <c:pt idx="6" formatCode="0.00E+00">
                  <c:v>4100</c:v>
                </c:pt>
                <c:pt idx="7" formatCode="0.00E+00">
                  <c:v>-146</c:v>
                </c:pt>
                <c:pt idx="8" formatCode="0.00E+00">
                  <c:v>-86.5</c:v>
                </c:pt>
                <c:pt idx="9" formatCode="0.00E+00">
                  <c:v>-4960</c:v>
                </c:pt>
                <c:pt idx="10" formatCode="0.00E+00">
                  <c:v>7090</c:v>
                </c:pt>
              </c:numCache>
            </c:numRef>
          </c:val>
        </c:ser>
        <c:ser>
          <c:idx val="4"/>
          <c:order val="4"/>
          <c:tx>
            <c:strRef>
              <c:f>'WAGR  Other Inter''l Results'!$F$31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Results'!$A$32:$A$42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Results'!$F$32:$F$42</c:f>
              <c:numCache>
                <c:formatCode>General</c:formatCode>
                <c:ptCount val="11"/>
                <c:pt idx="0" formatCode="0.00E+00">
                  <c:v>9810</c:v>
                </c:pt>
                <c:pt idx="1">
                  <c:v>11.1</c:v>
                </c:pt>
                <c:pt idx="2" formatCode="0.00E+00">
                  <c:v>-39500</c:v>
                </c:pt>
                <c:pt idx="3" formatCode="0.00E+00">
                  <c:v>-1650</c:v>
                </c:pt>
                <c:pt idx="4" formatCode="0.00E+00">
                  <c:v>52.2</c:v>
                </c:pt>
                <c:pt idx="5">
                  <c:v>1.89</c:v>
                </c:pt>
                <c:pt idx="6" formatCode="0.00E+00">
                  <c:v>4320</c:v>
                </c:pt>
                <c:pt idx="7" formatCode="0.00E+00">
                  <c:v>515</c:v>
                </c:pt>
                <c:pt idx="8" formatCode="0.00E+00">
                  <c:v>98.5</c:v>
                </c:pt>
                <c:pt idx="9" formatCode="0.00E+00">
                  <c:v>-4920</c:v>
                </c:pt>
                <c:pt idx="10" formatCode="0.00E+00">
                  <c:v>14200</c:v>
                </c:pt>
              </c:numCache>
            </c:numRef>
          </c:val>
        </c:ser>
        <c:axId val="51640960"/>
        <c:axId val="51778304"/>
      </c:barChart>
      <c:catAx>
        <c:axId val="51640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450588562793291"/>
              <c:y val="0.8686875801866619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778304"/>
        <c:crosses val="autoZero"/>
        <c:auto val="1"/>
        <c:lblAlgn val="ctr"/>
        <c:lblOffset val="100"/>
        <c:tickLblSkip val="1"/>
        <c:tickMarkSkip val="1"/>
      </c:catAx>
      <c:valAx>
        <c:axId val="517783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8571542193589438E-2"/>
              <c:y val="0.24242476080266326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64096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48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9242515318927776"/>
          <c:y val="0.90127388535031849"/>
          <c:w val="0.41477349441712241"/>
          <c:h val="8.917197452229298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7289734419836106"/>
          <c:y val="0.30092626605706813"/>
          <c:w val="0.80373900546265098"/>
          <c:h val="0.40740786789264616"/>
        </c:manualLayout>
      </c:layout>
      <c:barChart>
        <c:barDir val="col"/>
        <c:grouping val="stacked"/>
        <c:ser>
          <c:idx val="1"/>
          <c:order val="0"/>
          <c:tx>
            <c:strRef>
              <c:f>'WAGR  Other Inter''l Results'!$A$91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Results'!$B$90:$F$90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 USA</c:v>
                </c:pt>
              </c:strCache>
            </c:strRef>
          </c:cat>
          <c:val>
            <c:numRef>
              <c:f>'WAGR  Other Inter''l Results'!$B$91:$F$91</c:f>
              <c:numCache>
                <c:formatCode>0.00E+00</c:formatCode>
                <c:ptCount val="5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</c:numCache>
            </c:numRef>
          </c:val>
        </c:ser>
        <c:ser>
          <c:idx val="2"/>
          <c:order val="1"/>
          <c:tx>
            <c:strRef>
              <c:f>'WAGR  Other Inter''l Results'!$A$92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Results'!$B$90:$F$90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 USA</c:v>
                </c:pt>
              </c:strCache>
            </c:strRef>
          </c:cat>
          <c:val>
            <c:numRef>
              <c:f>'WAGR  Other Inter''l Results'!$B$92:$F$92</c:f>
              <c:numCache>
                <c:formatCode>0.00E+00</c:formatCode>
                <c:ptCount val="5"/>
                <c:pt idx="0">
                  <c:v>923</c:v>
                </c:pt>
                <c:pt idx="1">
                  <c:v>923</c:v>
                </c:pt>
                <c:pt idx="2">
                  <c:v>923</c:v>
                </c:pt>
                <c:pt idx="3">
                  <c:v>923</c:v>
                </c:pt>
                <c:pt idx="4">
                  <c:v>923</c:v>
                </c:pt>
              </c:numCache>
            </c:numRef>
          </c:val>
        </c:ser>
        <c:ser>
          <c:idx val="3"/>
          <c:order val="2"/>
          <c:tx>
            <c:strRef>
              <c:f>'WAGR  Other Inter''l Results'!$A$93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Results'!$B$90:$F$90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 USA</c:v>
                </c:pt>
              </c:strCache>
            </c:strRef>
          </c:cat>
          <c:val>
            <c:numRef>
              <c:f>'WAGR  Other Inter''l Results'!$B$93:$F$93</c:f>
              <c:numCache>
                <c:formatCode>0.00E+00</c:formatCode>
                <c:ptCount val="5"/>
                <c:pt idx="0">
                  <c:v>5820</c:v>
                </c:pt>
                <c:pt idx="1">
                  <c:v>3815</c:v>
                </c:pt>
                <c:pt idx="2">
                  <c:v>4768</c:v>
                </c:pt>
                <c:pt idx="3">
                  <c:v>3605</c:v>
                </c:pt>
                <c:pt idx="4">
                  <c:v>10290</c:v>
                </c:pt>
              </c:numCache>
            </c:numRef>
          </c:val>
        </c:ser>
        <c:ser>
          <c:idx val="4"/>
          <c:order val="3"/>
          <c:tx>
            <c:strRef>
              <c:f>'WAGR  Other Inter''l Results'!$A$94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Results'!$B$90:$F$90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 USA</c:v>
                </c:pt>
              </c:strCache>
            </c:strRef>
          </c:cat>
          <c:val>
            <c:numRef>
              <c:f>'WAGR  Other Inter''l Results'!$B$94:$F$94</c:f>
              <c:numCache>
                <c:formatCode>0.00E+00</c:formatCode>
                <c:ptCount val="5"/>
                <c:pt idx="0">
                  <c:v>3095</c:v>
                </c:pt>
                <c:pt idx="1">
                  <c:v>6400</c:v>
                </c:pt>
                <c:pt idx="2">
                  <c:v>2243</c:v>
                </c:pt>
                <c:pt idx="3">
                  <c:v>5600</c:v>
                </c:pt>
                <c:pt idx="4">
                  <c:v>9796</c:v>
                </c:pt>
              </c:numCache>
            </c:numRef>
          </c:val>
        </c:ser>
        <c:ser>
          <c:idx val="5"/>
          <c:order val="4"/>
          <c:tx>
            <c:strRef>
              <c:f>'WAGR  Other Inter''l Results'!$A$95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Results'!$B$90:$F$90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 USA</c:v>
                </c:pt>
              </c:strCache>
            </c:strRef>
          </c:cat>
          <c:val>
            <c:numRef>
              <c:f>'WAGR  Other Inter''l Results'!$B$95:$F$95</c:f>
              <c:numCache>
                <c:formatCode>0.00E+00</c:formatCode>
                <c:ptCount val="5"/>
                <c:pt idx="0">
                  <c:v>3234</c:v>
                </c:pt>
                <c:pt idx="1">
                  <c:v>3234</c:v>
                </c:pt>
                <c:pt idx="2">
                  <c:v>3234</c:v>
                </c:pt>
                <c:pt idx="3">
                  <c:v>3234</c:v>
                </c:pt>
                <c:pt idx="4">
                  <c:v>3234</c:v>
                </c:pt>
              </c:numCache>
            </c:numRef>
          </c:val>
        </c:ser>
        <c:ser>
          <c:idx val="6"/>
          <c:order val="5"/>
          <c:tx>
            <c:strRef>
              <c:f>'WAGR  Other Inter''l Results'!$A$96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Results'!$B$90:$F$90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 USA</c:v>
                </c:pt>
              </c:strCache>
            </c:strRef>
          </c:cat>
          <c:val>
            <c:numRef>
              <c:f>'WAGR  Other Inter''l Results'!$B$96:$F$96</c:f>
              <c:numCache>
                <c:formatCode>0.00E+00</c:formatCode>
                <c:ptCount val="5"/>
                <c:pt idx="0">
                  <c:v>4550</c:v>
                </c:pt>
                <c:pt idx="1">
                  <c:v>3570</c:v>
                </c:pt>
                <c:pt idx="2">
                  <c:v>10600</c:v>
                </c:pt>
                <c:pt idx="3">
                  <c:v>10600</c:v>
                </c:pt>
                <c:pt idx="4">
                  <c:v>21700</c:v>
                </c:pt>
              </c:numCache>
            </c:numRef>
          </c:val>
        </c:ser>
        <c:ser>
          <c:idx val="7"/>
          <c:order val="6"/>
          <c:tx>
            <c:strRef>
              <c:f>'WAGR  Other Inter''l Results'!$A$97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Results'!$B$90:$F$90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 USA</c:v>
                </c:pt>
              </c:strCache>
            </c:strRef>
          </c:cat>
          <c:val>
            <c:numRef>
              <c:f>'WAGR  Other Inter''l Results'!$B$97:$F$97</c:f>
              <c:numCache>
                <c:formatCode>0.00E+00</c:formatCode>
                <c:ptCount val="5"/>
                <c:pt idx="0">
                  <c:v>3757</c:v>
                </c:pt>
                <c:pt idx="1">
                  <c:v>3757</c:v>
                </c:pt>
                <c:pt idx="2">
                  <c:v>3757</c:v>
                </c:pt>
                <c:pt idx="3">
                  <c:v>3757</c:v>
                </c:pt>
                <c:pt idx="4">
                  <c:v>3757</c:v>
                </c:pt>
              </c:numCache>
            </c:numRef>
          </c:val>
        </c:ser>
        <c:ser>
          <c:idx val="9"/>
          <c:order val="7"/>
          <c:tx>
            <c:strRef>
              <c:f>'WAGR  Other Inter''l Results'!$A$98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Results'!$B$90:$F$90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 USA</c:v>
                </c:pt>
              </c:strCache>
            </c:strRef>
          </c:cat>
          <c:val>
            <c:numRef>
              <c:f>'WAGR  Other Inter''l Results'!$B$98:$F$98</c:f>
              <c:numCache>
                <c:formatCode>0.00E+00</c:formatCode>
                <c:ptCount val="5"/>
                <c:pt idx="0">
                  <c:v>5252</c:v>
                </c:pt>
                <c:pt idx="1">
                  <c:v>5252</c:v>
                </c:pt>
                <c:pt idx="2">
                  <c:v>5252</c:v>
                </c:pt>
                <c:pt idx="3">
                  <c:v>5252</c:v>
                </c:pt>
                <c:pt idx="4">
                  <c:v>5252</c:v>
                </c:pt>
              </c:numCache>
            </c:numRef>
          </c:val>
        </c:ser>
        <c:ser>
          <c:idx val="10"/>
          <c:order val="8"/>
          <c:tx>
            <c:strRef>
              <c:f>'WAGR  Other Inter''l Results'!$A$99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Results'!$B$90:$F$90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 USA</c:v>
                </c:pt>
              </c:strCache>
            </c:strRef>
          </c:cat>
          <c:val>
            <c:numRef>
              <c:f>'WAGR  Other Inter''l Results'!$B$99:$F$99</c:f>
              <c:numCache>
                <c:formatCode>0.00E+00</c:formatCode>
                <c:ptCount val="5"/>
                <c:pt idx="0">
                  <c:v>320.7</c:v>
                </c:pt>
                <c:pt idx="1">
                  <c:v>320.7</c:v>
                </c:pt>
                <c:pt idx="2">
                  <c:v>320.7</c:v>
                </c:pt>
                <c:pt idx="3">
                  <c:v>320.7</c:v>
                </c:pt>
                <c:pt idx="4">
                  <c:v>320.7</c:v>
                </c:pt>
              </c:numCache>
            </c:numRef>
          </c:val>
        </c:ser>
        <c:overlap val="100"/>
        <c:axId val="51838336"/>
        <c:axId val="51983872"/>
      </c:barChart>
      <c:catAx>
        <c:axId val="518383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Material and Process Impacts Internationally </a:t>
                </a:r>
              </a:p>
            </c:rich>
          </c:tx>
          <c:layout>
            <c:manualLayout>
              <c:xMode val="edge"/>
              <c:yMode val="edge"/>
              <c:x val="0.37850505957631059"/>
              <c:y val="0.88510806519555418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983872"/>
        <c:crosses val="autoZero"/>
        <c:auto val="1"/>
        <c:lblAlgn val="ctr"/>
        <c:lblOffset val="100"/>
        <c:tickLblSkip val="1"/>
        <c:tickMarkSkip val="1"/>
      </c:catAx>
      <c:valAx>
        <c:axId val="519838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3.0373922200661783E-2"/>
              <c:y val="0.26383007679595605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83833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88641285254076"/>
          <c:y val="2.7777861502524301E-2"/>
          <c:w val="0.7296762450700367"/>
          <c:h val="0.1882721724059980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526304517988802"/>
          <c:y val="0.16513733727018801"/>
          <c:w val="0.87061310284198701"/>
          <c:h val="0.403669046660459"/>
        </c:manualLayout>
      </c:layout>
      <c:barChart>
        <c:barDir val="col"/>
        <c:grouping val="clustered"/>
        <c:ser>
          <c:idx val="0"/>
          <c:order val="0"/>
          <c:tx>
            <c:strRef>
              <c:f>'WAGR  Other Inter''l Results'!$B$103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Results'!$A$104:$A$114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Results'!$B$104:$B$114</c:f>
              <c:numCache>
                <c:formatCode>0.00</c:formatCode>
                <c:ptCount val="11"/>
                <c:pt idx="0">
                  <c:v>2.56</c:v>
                </c:pt>
                <c:pt idx="1">
                  <c:v>2.5100000000000001E-2</c:v>
                </c:pt>
                <c:pt idx="2">
                  <c:v>36.5</c:v>
                </c:pt>
                <c:pt idx="3">
                  <c:v>6.42</c:v>
                </c:pt>
                <c:pt idx="4">
                  <c:v>0.30099999999999999</c:v>
                </c:pt>
                <c:pt idx="5">
                  <c:v>2.8300000000000001E-3</c:v>
                </c:pt>
                <c:pt idx="6">
                  <c:v>2.0699999999999998</c:v>
                </c:pt>
                <c:pt idx="7">
                  <c:v>1.23</c:v>
                </c:pt>
                <c:pt idx="8">
                  <c:v>0.96899999999999997</c:v>
                </c:pt>
                <c:pt idx="9">
                  <c:v>4.3499999999999996</c:v>
                </c:pt>
                <c:pt idx="10">
                  <c:v>35.299999999999997</c:v>
                </c:pt>
              </c:numCache>
            </c:numRef>
          </c:val>
        </c:ser>
        <c:ser>
          <c:idx val="1"/>
          <c:order val="1"/>
          <c:tx>
            <c:strRef>
              <c:f>'WAGR  Other Inter''l Results'!$C$103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Results'!$A$104:$A$114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Results'!$C$104:$C$114</c:f>
              <c:numCache>
                <c:formatCode>0.00</c:formatCode>
                <c:ptCount val="11"/>
                <c:pt idx="0">
                  <c:v>2.14</c:v>
                </c:pt>
                <c:pt idx="1">
                  <c:v>1.43E-2</c:v>
                </c:pt>
                <c:pt idx="2">
                  <c:v>36.6</c:v>
                </c:pt>
                <c:pt idx="3">
                  <c:v>6.55</c:v>
                </c:pt>
                <c:pt idx="4">
                  <c:v>0.59899999999999998</c:v>
                </c:pt>
                <c:pt idx="5">
                  <c:v>2.3E-3</c:v>
                </c:pt>
                <c:pt idx="6">
                  <c:v>2.09</c:v>
                </c:pt>
                <c:pt idx="7">
                  <c:v>1.43</c:v>
                </c:pt>
                <c:pt idx="8">
                  <c:v>0.81899999999999995</c:v>
                </c:pt>
                <c:pt idx="9">
                  <c:v>4.34</c:v>
                </c:pt>
                <c:pt idx="10">
                  <c:v>36.4</c:v>
                </c:pt>
              </c:numCache>
            </c:numRef>
          </c:val>
        </c:ser>
        <c:ser>
          <c:idx val="2"/>
          <c:order val="2"/>
          <c:tx>
            <c:strRef>
              <c:f>'WAGR  Other Inter''l Results'!$D$103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Results'!$A$104:$A$114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Results'!$D$104:$D$114</c:f>
              <c:numCache>
                <c:formatCode>0.00</c:formatCode>
                <c:ptCount val="11"/>
                <c:pt idx="0">
                  <c:v>3.45</c:v>
                </c:pt>
                <c:pt idx="1">
                  <c:v>2.7900000000000001E-2</c:v>
                </c:pt>
                <c:pt idx="2">
                  <c:v>34.799999999999997</c:v>
                </c:pt>
                <c:pt idx="3">
                  <c:v>13.2</c:v>
                </c:pt>
                <c:pt idx="4">
                  <c:v>0.14599999999999999</c:v>
                </c:pt>
                <c:pt idx="5">
                  <c:v>3.4499999999999999E-3</c:v>
                </c:pt>
                <c:pt idx="6">
                  <c:v>1.95</c:v>
                </c:pt>
                <c:pt idx="7">
                  <c:v>1.31</c:v>
                </c:pt>
                <c:pt idx="8">
                  <c:v>1</c:v>
                </c:pt>
                <c:pt idx="9">
                  <c:v>4.32</c:v>
                </c:pt>
                <c:pt idx="10">
                  <c:v>44.3</c:v>
                </c:pt>
              </c:numCache>
            </c:numRef>
          </c:val>
        </c:ser>
        <c:ser>
          <c:idx val="3"/>
          <c:order val="3"/>
          <c:tx>
            <c:strRef>
              <c:f>'WAGR  Other Inter''l Results'!$E$103</c:f>
              <c:strCache>
                <c:ptCount val="1"/>
                <c:pt idx="0">
                  <c:v>Russian Federation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Results'!$A$104:$A$114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Results'!$E$104:$E$114</c:f>
              <c:numCache>
                <c:formatCode>0.00</c:formatCode>
                <c:ptCount val="11"/>
                <c:pt idx="0">
                  <c:v>3.47</c:v>
                </c:pt>
                <c:pt idx="1">
                  <c:v>2.8899999999999999E-2</c:v>
                </c:pt>
                <c:pt idx="2">
                  <c:v>38.9</c:v>
                </c:pt>
                <c:pt idx="3">
                  <c:v>13.4</c:v>
                </c:pt>
                <c:pt idx="4">
                  <c:v>0.14699999999999999</c:v>
                </c:pt>
                <c:pt idx="5">
                  <c:v>3.5100000000000001E-3</c:v>
                </c:pt>
                <c:pt idx="6">
                  <c:v>2.04</c:v>
                </c:pt>
                <c:pt idx="7">
                  <c:v>1.54</c:v>
                </c:pt>
                <c:pt idx="8">
                  <c:v>1.02</c:v>
                </c:pt>
                <c:pt idx="9">
                  <c:v>4.3099999999999996</c:v>
                </c:pt>
                <c:pt idx="10">
                  <c:v>46.1</c:v>
                </c:pt>
              </c:numCache>
            </c:numRef>
          </c:val>
        </c:ser>
        <c:ser>
          <c:idx val="4"/>
          <c:order val="4"/>
          <c:tx>
            <c:strRef>
              <c:f>'WAGR  Other Inter''l Results'!$F$103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Results'!$A$104:$A$114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Results'!$F$104:$F$114</c:f>
              <c:numCache>
                <c:formatCode>0.00</c:formatCode>
                <c:ptCount val="11"/>
                <c:pt idx="0">
                  <c:v>5.23</c:v>
                </c:pt>
                <c:pt idx="1">
                  <c:v>4.8800000000000003E-2</c:v>
                </c:pt>
                <c:pt idx="2">
                  <c:v>68.099999999999994</c:v>
                </c:pt>
                <c:pt idx="3">
                  <c:v>16.899999999999999</c:v>
                </c:pt>
                <c:pt idx="4">
                  <c:v>7.8E-2</c:v>
                </c:pt>
                <c:pt idx="5">
                  <c:v>4.6899999999999997E-3</c:v>
                </c:pt>
                <c:pt idx="6">
                  <c:v>2.6</c:v>
                </c:pt>
                <c:pt idx="7">
                  <c:v>3.2</c:v>
                </c:pt>
                <c:pt idx="8">
                  <c:v>1.48</c:v>
                </c:pt>
                <c:pt idx="9">
                  <c:v>4.5</c:v>
                </c:pt>
                <c:pt idx="10">
                  <c:v>81.8</c:v>
                </c:pt>
              </c:numCache>
            </c:numRef>
          </c:val>
        </c:ser>
        <c:axId val="52031872"/>
        <c:axId val="52033792"/>
      </c:barChart>
      <c:catAx>
        <c:axId val="520318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7566321896187452"/>
              <c:y val="0.8818183727034121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033792"/>
        <c:crosses val="autoZero"/>
        <c:auto val="1"/>
        <c:lblAlgn val="ctr"/>
        <c:lblOffset val="100"/>
        <c:tickLblSkip val="1"/>
        <c:tickMarkSkip val="1"/>
      </c:catAx>
      <c:valAx>
        <c:axId val="520337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8761184966601929E-2"/>
              <c:y val="0.22727236018574601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03187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427480916030533"/>
          <c:y val="1.5384638498555437E-2"/>
          <c:w val="0.55534351145038163"/>
          <c:h val="0.1507694572858432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3846164990367199"/>
          <c:y val="0.17924559264951201"/>
          <c:w val="0.83956111528892996"/>
          <c:h val="0.35377419601877302"/>
        </c:manualLayout>
      </c:layout>
      <c:barChart>
        <c:barDir val="col"/>
        <c:grouping val="clustered"/>
        <c:ser>
          <c:idx val="0"/>
          <c:order val="0"/>
          <c:tx>
            <c:strRef>
              <c:f>'WAGR  Other Inter''l Results'!$B$116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Results'!$A$117:$A$127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Results'!$B$117:$B$127</c:f>
              <c:numCache>
                <c:formatCode>General</c:formatCode>
                <c:ptCount val="11"/>
                <c:pt idx="0" formatCode="0.00E+00">
                  <c:v>1020</c:v>
                </c:pt>
                <c:pt idx="1">
                  <c:v>10</c:v>
                </c:pt>
                <c:pt idx="2" formatCode="0.00E+00">
                  <c:v>14600</c:v>
                </c:pt>
                <c:pt idx="3" formatCode="0.00E+00">
                  <c:v>2570</c:v>
                </c:pt>
                <c:pt idx="4" formatCode="0.00E+00">
                  <c:v>120</c:v>
                </c:pt>
                <c:pt idx="5">
                  <c:v>1.1299999999999999</c:v>
                </c:pt>
                <c:pt idx="6" formatCode="0.00E+00">
                  <c:v>828</c:v>
                </c:pt>
                <c:pt idx="7" formatCode="0.00E+00">
                  <c:v>494</c:v>
                </c:pt>
                <c:pt idx="8" formatCode="0.00E+00">
                  <c:v>388</c:v>
                </c:pt>
                <c:pt idx="9" formatCode="0.00E+00">
                  <c:v>869</c:v>
                </c:pt>
                <c:pt idx="10" formatCode="0.00E+00">
                  <c:v>7070</c:v>
                </c:pt>
              </c:numCache>
            </c:numRef>
          </c:val>
        </c:ser>
        <c:ser>
          <c:idx val="1"/>
          <c:order val="1"/>
          <c:tx>
            <c:strRef>
              <c:f>'WAGR  Other Inter''l Results'!$C$116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Results'!$A$117:$A$127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Results'!$C$117:$C$127</c:f>
              <c:numCache>
                <c:formatCode>General</c:formatCode>
                <c:ptCount val="11"/>
                <c:pt idx="0" formatCode="0.00E+00">
                  <c:v>855</c:v>
                </c:pt>
                <c:pt idx="1">
                  <c:v>9.7100000000000009</c:v>
                </c:pt>
                <c:pt idx="2" formatCode="0.00E+00">
                  <c:v>14700</c:v>
                </c:pt>
                <c:pt idx="3" formatCode="0.00E+00">
                  <c:v>2620</c:v>
                </c:pt>
                <c:pt idx="4" formatCode="0.00E+00">
                  <c:v>240</c:v>
                </c:pt>
                <c:pt idx="5">
                  <c:v>0.92200000000000004</c:v>
                </c:pt>
                <c:pt idx="6" formatCode="0.00E+00">
                  <c:v>836</c:v>
                </c:pt>
                <c:pt idx="7" formatCode="0.00E+00">
                  <c:v>574</c:v>
                </c:pt>
                <c:pt idx="8" formatCode="0.00E+00">
                  <c:v>328</c:v>
                </c:pt>
                <c:pt idx="9" formatCode="0.00E+00">
                  <c:v>868</c:v>
                </c:pt>
                <c:pt idx="10" formatCode="0.00E+00">
                  <c:v>7280</c:v>
                </c:pt>
              </c:numCache>
            </c:numRef>
          </c:val>
        </c:ser>
        <c:ser>
          <c:idx val="2"/>
          <c:order val="2"/>
          <c:tx>
            <c:strRef>
              <c:f>'WAGR  Other Inter''l Results'!$D$116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Results'!$A$117:$A$127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Results'!$D$117:$D$127</c:f>
              <c:numCache>
                <c:formatCode>General</c:formatCode>
                <c:ptCount val="11"/>
                <c:pt idx="0" formatCode="0.00E+00">
                  <c:v>1380</c:v>
                </c:pt>
                <c:pt idx="1">
                  <c:v>11.2</c:v>
                </c:pt>
                <c:pt idx="2" formatCode="0.00E+00">
                  <c:v>13900</c:v>
                </c:pt>
                <c:pt idx="3" formatCode="0.00E+00">
                  <c:v>5290</c:v>
                </c:pt>
                <c:pt idx="4" formatCode="0.00E+00">
                  <c:v>58.2</c:v>
                </c:pt>
                <c:pt idx="5">
                  <c:v>1.38</c:v>
                </c:pt>
                <c:pt idx="6" formatCode="0.00E+00">
                  <c:v>781</c:v>
                </c:pt>
                <c:pt idx="7" formatCode="0.00E+00">
                  <c:v>524</c:v>
                </c:pt>
                <c:pt idx="8" formatCode="0.00E+00">
                  <c:v>401</c:v>
                </c:pt>
                <c:pt idx="9" formatCode="0.00E+00">
                  <c:v>865</c:v>
                </c:pt>
                <c:pt idx="10" formatCode="0.00E+00">
                  <c:v>8870</c:v>
                </c:pt>
              </c:numCache>
            </c:numRef>
          </c:val>
        </c:ser>
        <c:ser>
          <c:idx val="3"/>
          <c:order val="3"/>
          <c:tx>
            <c:strRef>
              <c:f>'WAGR  Other Inter''l Results'!$E$116</c:f>
              <c:strCache>
                <c:ptCount val="1"/>
                <c:pt idx="0">
                  <c:v>Russian Federation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Results'!$A$117:$A$127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Results'!$E$117:$E$127</c:f>
              <c:numCache>
                <c:formatCode>General</c:formatCode>
                <c:ptCount val="11"/>
                <c:pt idx="0" formatCode="0.00E+00">
                  <c:v>1390</c:v>
                </c:pt>
                <c:pt idx="1">
                  <c:v>11.6</c:v>
                </c:pt>
                <c:pt idx="2" formatCode="0.00E+00">
                  <c:v>15600</c:v>
                </c:pt>
                <c:pt idx="3" formatCode="0.00E+00">
                  <c:v>5380</c:v>
                </c:pt>
                <c:pt idx="4" formatCode="0.00E+00">
                  <c:v>58.8</c:v>
                </c:pt>
                <c:pt idx="5">
                  <c:v>1.4</c:v>
                </c:pt>
                <c:pt idx="6" formatCode="0.00E+00">
                  <c:v>818</c:v>
                </c:pt>
                <c:pt idx="7" formatCode="0.00E+00">
                  <c:v>617</c:v>
                </c:pt>
                <c:pt idx="8" formatCode="0.00E+00">
                  <c:v>406</c:v>
                </c:pt>
                <c:pt idx="9" formatCode="0.00E+00">
                  <c:v>862</c:v>
                </c:pt>
                <c:pt idx="10" formatCode="0.00E+00">
                  <c:v>9210</c:v>
                </c:pt>
              </c:numCache>
            </c:numRef>
          </c:val>
        </c:ser>
        <c:ser>
          <c:idx val="4"/>
          <c:order val="4"/>
          <c:tx>
            <c:strRef>
              <c:f>'WAGR  Other Inter''l Results'!$F$116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Results'!$A$117:$A$127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Results'!$F$117:$F$127</c:f>
              <c:numCache>
                <c:formatCode>General</c:formatCode>
                <c:ptCount val="11"/>
                <c:pt idx="0" formatCode="0.00E+00">
                  <c:v>2090</c:v>
                </c:pt>
                <c:pt idx="1">
                  <c:v>19.5</c:v>
                </c:pt>
                <c:pt idx="2" formatCode="0.00E+00">
                  <c:v>27200</c:v>
                </c:pt>
                <c:pt idx="3" formatCode="0.00E+00">
                  <c:v>6750</c:v>
                </c:pt>
                <c:pt idx="4" formatCode="0.00E+00">
                  <c:v>31.2</c:v>
                </c:pt>
                <c:pt idx="5">
                  <c:v>1.87</c:v>
                </c:pt>
                <c:pt idx="6" formatCode="0.00E+00">
                  <c:v>1040</c:v>
                </c:pt>
                <c:pt idx="7" formatCode="0.00E+00">
                  <c:v>1280</c:v>
                </c:pt>
                <c:pt idx="8" formatCode="0.00E+00">
                  <c:v>591</c:v>
                </c:pt>
                <c:pt idx="9" formatCode="0.00E+00">
                  <c:v>900</c:v>
                </c:pt>
                <c:pt idx="10" formatCode="0.00E+00">
                  <c:v>16400</c:v>
                </c:pt>
              </c:numCache>
            </c:numRef>
          </c:val>
        </c:ser>
        <c:axId val="9241728"/>
        <c:axId val="9243648"/>
      </c:barChart>
      <c:catAx>
        <c:axId val="9241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224002172142278"/>
              <c:y val="0.8773601080929972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43648"/>
        <c:crosses val="autoZero"/>
        <c:auto val="1"/>
        <c:lblAlgn val="ctr"/>
        <c:lblOffset val="100"/>
        <c:tickLblSkip val="1"/>
        <c:tickMarkSkip val="1"/>
      </c:catAx>
      <c:valAx>
        <c:axId val="92436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882493136633783E-2"/>
              <c:y val="0.13679293046949015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4172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227577553232508"/>
          <c:y val="3.2544378698224852E-2"/>
          <c:w val="0.43403482204792632"/>
          <c:h val="8.284023668639053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>
        <c:manualLayout>
          <c:xMode val="edge"/>
          <c:yMode val="edge"/>
          <c:x val="0.4661017372828396"/>
          <c:y val="3.6199133644879755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23333364981235102"/>
          <c:y val="0.68098363504012605"/>
          <c:w val="6.1111193998472813E-2"/>
          <c:h val="6.7484864733706185E-2"/>
        </c:manualLayout>
      </c:layout>
      <c:pieChart>
        <c:varyColors val="1"/>
        <c:ser>
          <c:idx val="0"/>
          <c:order val="0"/>
          <c:tx>
            <c:strRef>
              <c:f>'WAGR  Other Inter''l Results'!$B$90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B14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EF383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9D56A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AEB2B1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  <c:showLeaderLines val="1"/>
          </c:dLbls>
          <c:cat>
            <c:strRef>
              <c:f>'WAGR  Other Inter''l Results'!$A$91:$A$99</c:f>
              <c:strCache>
                <c:ptCount val="9"/>
                <c:pt idx="0">
                  <c:v>HHISO Steel</c:v>
                </c:pt>
                <c:pt idx="1">
                  <c:v>HHISO Production</c:v>
                </c:pt>
                <c:pt idx="2">
                  <c:v>Road Transport</c:v>
                </c:pt>
                <c:pt idx="3">
                  <c:v>Sea Transport</c:v>
                </c:pt>
                <c:pt idx="4">
                  <c:v>Treatment</c:v>
                </c:pt>
                <c:pt idx="5">
                  <c:v>Melting</c:v>
                </c:pt>
                <c:pt idx="6">
                  <c:v>Secondary Waste</c:v>
                </c:pt>
                <c:pt idx="7">
                  <c:v>Disposal</c:v>
                </c:pt>
                <c:pt idx="8">
                  <c:v>Grout</c:v>
                </c:pt>
              </c:strCache>
            </c:strRef>
          </c:cat>
          <c:val>
            <c:numRef>
              <c:f>'WAGR  Other Inter''l Results'!$B$91:$B$99</c:f>
              <c:numCache>
                <c:formatCode>0.00E+00</c:formatCode>
                <c:ptCount val="9"/>
                <c:pt idx="0">
                  <c:v>1000</c:v>
                </c:pt>
                <c:pt idx="1">
                  <c:v>923</c:v>
                </c:pt>
                <c:pt idx="2">
                  <c:v>5820</c:v>
                </c:pt>
                <c:pt idx="3">
                  <c:v>3095</c:v>
                </c:pt>
                <c:pt idx="4">
                  <c:v>3234</c:v>
                </c:pt>
                <c:pt idx="5">
                  <c:v>4550</c:v>
                </c:pt>
                <c:pt idx="6">
                  <c:v>3757</c:v>
                </c:pt>
                <c:pt idx="7">
                  <c:v>5252</c:v>
                </c:pt>
                <c:pt idx="8">
                  <c:v>320.7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71793953654923"/>
          <c:y val="0.48987951092704429"/>
          <c:w val="0.1476197340947456"/>
          <c:h val="0.4939281019264413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>
        <c:manualLayout>
          <c:xMode val="edge"/>
          <c:yMode val="edge"/>
          <c:x val="0.47244094488188981"/>
          <c:y val="3.6529530194267884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25698324022346403"/>
          <c:y val="0.65454497029994507"/>
          <c:w val="5.0279329608938515E-2"/>
          <c:h val="5.4545414191662096E-2"/>
        </c:manualLayout>
      </c:layout>
      <c:pieChart>
        <c:varyColors val="1"/>
        <c:ser>
          <c:idx val="1"/>
          <c:order val="0"/>
          <c:tx>
            <c:strRef>
              <c:f>'WAGR  Other Inter''l Results'!$C$90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EF383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9D56A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AEB2B1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  <c:showLeaderLines val="1"/>
          </c:dLbls>
          <c:cat>
            <c:strRef>
              <c:f>'WAGR  Other Inter''l Results'!$A$91:$A$99</c:f>
              <c:strCache>
                <c:ptCount val="9"/>
                <c:pt idx="0">
                  <c:v>HHISO Steel</c:v>
                </c:pt>
                <c:pt idx="1">
                  <c:v>HHISO Production</c:v>
                </c:pt>
                <c:pt idx="2">
                  <c:v>Road Transport</c:v>
                </c:pt>
                <c:pt idx="3">
                  <c:v>Sea Transport</c:v>
                </c:pt>
                <c:pt idx="4">
                  <c:v>Treatment</c:v>
                </c:pt>
                <c:pt idx="5">
                  <c:v>Melting</c:v>
                </c:pt>
                <c:pt idx="6">
                  <c:v>Secondary Waste</c:v>
                </c:pt>
                <c:pt idx="7">
                  <c:v>Disposal</c:v>
                </c:pt>
                <c:pt idx="8">
                  <c:v>Grout</c:v>
                </c:pt>
              </c:strCache>
            </c:strRef>
          </c:cat>
          <c:val>
            <c:numRef>
              <c:f>'WAGR  Other Inter''l Results'!$C$91:$C$99</c:f>
              <c:numCache>
                <c:formatCode>0.00E+00</c:formatCode>
                <c:ptCount val="9"/>
                <c:pt idx="0">
                  <c:v>1000</c:v>
                </c:pt>
                <c:pt idx="1">
                  <c:v>923</c:v>
                </c:pt>
                <c:pt idx="2">
                  <c:v>3815</c:v>
                </c:pt>
                <c:pt idx="3">
                  <c:v>6400</c:v>
                </c:pt>
                <c:pt idx="4">
                  <c:v>3234</c:v>
                </c:pt>
                <c:pt idx="5">
                  <c:v>3570</c:v>
                </c:pt>
                <c:pt idx="6">
                  <c:v>3757</c:v>
                </c:pt>
                <c:pt idx="7">
                  <c:v>5252</c:v>
                </c:pt>
                <c:pt idx="8">
                  <c:v>320.7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487996589168709"/>
          <c:y val="0.48192960094126874"/>
          <c:w val="0.13170763078227607"/>
          <c:h val="0.4538170408863614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>
        <c:manualLayout>
          <c:xMode val="edge"/>
          <c:yMode val="edge"/>
          <c:x val="0.46268667033904715"/>
          <c:y val="3.6697496146315046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23557747609646404"/>
          <c:y val="0.62650648480627891"/>
          <c:w val="5.2884739531859203E-2"/>
          <c:h val="6.6265108969894918E-2"/>
        </c:manualLayout>
      </c:layout>
      <c:pieChart>
        <c:varyColors val="1"/>
        <c:ser>
          <c:idx val="2"/>
          <c:order val="0"/>
          <c:tx>
            <c:strRef>
              <c:f>'WAGR  Other Inter''l Results'!$D$90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B14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</c:dPt>
          <c:dPt>
            <c:idx val="3"/>
            <c:spPr>
              <a:solidFill>
                <a:srgbClr val="9D56A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AEB2B1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  <c:showLeaderLines val="1"/>
          </c:dLbls>
          <c:cat>
            <c:strRef>
              <c:f>'WAGR  Other Inter''l Results'!$A$91:$A$99</c:f>
              <c:strCache>
                <c:ptCount val="9"/>
                <c:pt idx="0">
                  <c:v>HHISO Steel</c:v>
                </c:pt>
                <c:pt idx="1">
                  <c:v>HHISO Production</c:v>
                </c:pt>
                <c:pt idx="2">
                  <c:v>Road Transport</c:v>
                </c:pt>
                <c:pt idx="3">
                  <c:v>Sea Transport</c:v>
                </c:pt>
                <c:pt idx="4">
                  <c:v>Treatment</c:v>
                </c:pt>
                <c:pt idx="5">
                  <c:v>Melting</c:v>
                </c:pt>
                <c:pt idx="6">
                  <c:v>Secondary Waste</c:v>
                </c:pt>
                <c:pt idx="7">
                  <c:v>Disposal</c:v>
                </c:pt>
                <c:pt idx="8">
                  <c:v>Grout</c:v>
                </c:pt>
              </c:strCache>
            </c:strRef>
          </c:cat>
          <c:val>
            <c:numRef>
              <c:f>'WAGR  Other Inter''l Results'!$D$91:$D$99</c:f>
              <c:numCache>
                <c:formatCode>0.00E+00</c:formatCode>
                <c:ptCount val="9"/>
                <c:pt idx="0">
                  <c:v>1000</c:v>
                </c:pt>
                <c:pt idx="1">
                  <c:v>923</c:v>
                </c:pt>
                <c:pt idx="2">
                  <c:v>4768</c:v>
                </c:pt>
                <c:pt idx="3">
                  <c:v>2243</c:v>
                </c:pt>
                <c:pt idx="4">
                  <c:v>3234</c:v>
                </c:pt>
                <c:pt idx="5">
                  <c:v>10600</c:v>
                </c:pt>
                <c:pt idx="6">
                  <c:v>3757</c:v>
                </c:pt>
                <c:pt idx="7">
                  <c:v>5252</c:v>
                </c:pt>
                <c:pt idx="8">
                  <c:v>320.7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78845172509715"/>
          <c:y val="0.46031924416869796"/>
          <c:w val="0.13524617228758223"/>
          <c:h val="0.468255782861261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>
        <c:manualLayout>
          <c:xMode val="edge"/>
          <c:yMode val="edge"/>
          <c:x val="0.42885355349998727"/>
          <c:y val="3.686648039962747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26111146526620205"/>
          <c:y val="0.65644368422786903"/>
          <c:w val="5.0000067816932302E-2"/>
          <c:h val="5.5214889327577801E-2"/>
        </c:manualLayout>
      </c:layout>
      <c:pieChart>
        <c:varyColors val="1"/>
        <c:ser>
          <c:idx val="3"/>
          <c:order val="0"/>
          <c:tx>
            <c:strRef>
              <c:f>'WAGR  Other Inter''l Results'!$E$90</c:f>
              <c:strCache>
                <c:ptCount val="1"/>
                <c:pt idx="0">
                  <c:v>Russian Federation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B14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EF383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</c:dPt>
          <c:dPt>
            <c:idx val="4"/>
            <c:spPr>
              <a:solidFill>
                <a:srgbClr val="AEB2B1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  <c:showLeaderLines val="1"/>
          </c:dLbls>
          <c:cat>
            <c:strRef>
              <c:f>'WAGR  Other Inter''l Results'!$A$91:$A$99</c:f>
              <c:strCache>
                <c:ptCount val="9"/>
                <c:pt idx="0">
                  <c:v>HHISO Steel</c:v>
                </c:pt>
                <c:pt idx="1">
                  <c:v>HHISO Production</c:v>
                </c:pt>
                <c:pt idx="2">
                  <c:v>Road Transport</c:v>
                </c:pt>
                <c:pt idx="3">
                  <c:v>Sea Transport</c:v>
                </c:pt>
                <c:pt idx="4">
                  <c:v>Treatment</c:v>
                </c:pt>
                <c:pt idx="5">
                  <c:v>Melting</c:v>
                </c:pt>
                <c:pt idx="6">
                  <c:v>Secondary Waste</c:v>
                </c:pt>
                <c:pt idx="7">
                  <c:v>Disposal</c:v>
                </c:pt>
                <c:pt idx="8">
                  <c:v>Grout</c:v>
                </c:pt>
              </c:strCache>
            </c:strRef>
          </c:cat>
          <c:val>
            <c:numRef>
              <c:f>'WAGR  Other Inter''l Results'!$E$91:$E$99</c:f>
              <c:numCache>
                <c:formatCode>0.00E+00</c:formatCode>
                <c:ptCount val="9"/>
                <c:pt idx="0">
                  <c:v>1000</c:v>
                </c:pt>
                <c:pt idx="1">
                  <c:v>923</c:v>
                </c:pt>
                <c:pt idx="2">
                  <c:v>3605</c:v>
                </c:pt>
                <c:pt idx="3">
                  <c:v>5600</c:v>
                </c:pt>
                <c:pt idx="4">
                  <c:v>3234</c:v>
                </c:pt>
                <c:pt idx="5">
                  <c:v>10600</c:v>
                </c:pt>
                <c:pt idx="6">
                  <c:v>3757</c:v>
                </c:pt>
                <c:pt idx="7">
                  <c:v>5252</c:v>
                </c:pt>
                <c:pt idx="8">
                  <c:v>320.7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7777896694951965"/>
          <c:y val="0.46012403691474052"/>
          <c:w val="0.8888902479423082"/>
          <c:h val="0.9877330454660908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Low Level Radioactive Waste Metals</a:t>
            </a:r>
          </a:p>
        </c:rich>
      </c:tx>
      <c:layout>
        <c:manualLayout>
          <c:xMode val="edge"/>
          <c:yMode val="edge"/>
          <c:x val="0.3107350086986253"/>
          <c:y val="3.468196105116489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1332394943902"/>
          <c:y val="0.14345984172072704"/>
          <c:w val="0.71428645793749401"/>
          <c:h val="0.66244691618100415"/>
        </c:manualLayout>
      </c:layout>
      <c:barChart>
        <c:barDir val="col"/>
        <c:grouping val="clustered"/>
        <c:ser>
          <c:idx val="0"/>
          <c:order val="0"/>
          <c:tx>
            <c:strRef>
              <c:f>'General metal graphs'!$A$51:$B$51</c:f>
              <c:strCache>
                <c:ptCount val="1"/>
                <c:pt idx="0">
                  <c:v>Ferrous Metals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graphs'!$C$50:$F$50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graphs'!$C$51:$F$51</c:f>
              <c:numCache>
                <c:formatCode>General</c:formatCode>
                <c:ptCount val="4"/>
                <c:pt idx="0">
                  <c:v>671600</c:v>
                </c:pt>
                <c:pt idx="1">
                  <c:v>429144</c:v>
                </c:pt>
                <c:pt idx="2" formatCode="#,##0">
                  <c:v>417000</c:v>
                </c:pt>
                <c:pt idx="3">
                  <c:v>1030000</c:v>
                </c:pt>
              </c:numCache>
            </c:numRef>
          </c:val>
        </c:ser>
        <c:ser>
          <c:idx val="1"/>
          <c:order val="1"/>
          <c:tx>
            <c:strRef>
              <c:f>'General metal graphs'!$A$52:$B$52</c:f>
              <c:strCache>
                <c:ptCount val="1"/>
                <c:pt idx="0">
                  <c:v>Magnox/Magnesium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graphs'!$C$50:$F$50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graphs'!$C$52:$F$52</c:f>
              <c:numCache>
                <c:formatCode>General</c:formatCode>
                <c:ptCount val="4"/>
                <c:pt idx="0">
                  <c:v>265</c:v>
                </c:pt>
                <c:pt idx="1">
                  <c:v>192</c:v>
                </c:pt>
                <c:pt idx="2">
                  <c:v>200</c:v>
                </c:pt>
                <c:pt idx="3">
                  <c:v>130</c:v>
                </c:pt>
              </c:numCache>
            </c:numRef>
          </c:val>
        </c:ser>
        <c:ser>
          <c:idx val="2"/>
          <c:order val="2"/>
          <c:tx>
            <c:strRef>
              <c:f>'General metal graphs'!$A$53:$B$53</c:f>
              <c:strCache>
                <c:ptCount val="1"/>
                <c:pt idx="0">
                  <c:v>Aluminium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graphs'!$C$50:$F$50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graphs'!$C$53:$F$53</c:f>
              <c:numCache>
                <c:formatCode>General</c:formatCode>
                <c:ptCount val="4"/>
                <c:pt idx="0">
                  <c:v>5840</c:v>
                </c:pt>
                <c:pt idx="1">
                  <c:v>6384</c:v>
                </c:pt>
                <c:pt idx="2">
                  <c:v>5700</c:v>
                </c:pt>
                <c:pt idx="3">
                  <c:v>30000</c:v>
                </c:pt>
              </c:numCache>
            </c:numRef>
          </c:val>
        </c:ser>
        <c:ser>
          <c:idx val="3"/>
          <c:order val="3"/>
          <c:tx>
            <c:strRef>
              <c:f>'General metal graphs'!$A$54:$B$54</c:f>
              <c:strCache>
                <c:ptCount val="1"/>
                <c:pt idx="0">
                  <c:v>Zircaloy/Zirconium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graphs'!$C$50:$F$50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graphs'!$C$54:$F$54</c:f>
              <c:numCache>
                <c:formatCode>General</c:formatCode>
                <c:ptCount val="4"/>
                <c:pt idx="0">
                  <c:v>13</c:v>
                </c:pt>
                <c:pt idx="1">
                  <c:v>28</c:v>
                </c:pt>
                <c:pt idx="2">
                  <c:v>21</c:v>
                </c:pt>
                <c:pt idx="3">
                  <c:v>40</c:v>
                </c:pt>
              </c:numCache>
            </c:numRef>
          </c:val>
        </c:ser>
        <c:ser>
          <c:idx val="4"/>
          <c:order val="4"/>
          <c:tx>
            <c:strRef>
              <c:f>'General metal graphs'!$A$55:$B$55</c:f>
              <c:strCache>
                <c:ptCount val="1"/>
                <c:pt idx="0">
                  <c:v>Other metals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graphs'!$C$50:$F$50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graphs'!$C$55:$F$55</c:f>
              <c:numCache>
                <c:formatCode>General</c:formatCode>
                <c:ptCount val="4"/>
                <c:pt idx="0">
                  <c:v>20004</c:v>
                </c:pt>
                <c:pt idx="1">
                  <c:v>19981</c:v>
                </c:pt>
                <c:pt idx="2">
                  <c:v>31000</c:v>
                </c:pt>
                <c:pt idx="3">
                  <c:v>90000</c:v>
                </c:pt>
              </c:numCache>
            </c:numRef>
          </c:val>
        </c:ser>
        <c:axId val="53410432"/>
        <c:axId val="53486336"/>
      </c:barChart>
      <c:catAx>
        <c:axId val="534104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4256212226345271"/>
              <c:y val="0.913296069472797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486336"/>
        <c:crosses val="autoZero"/>
        <c:auto val="1"/>
        <c:lblAlgn val="ctr"/>
        <c:lblOffset val="100"/>
        <c:tickLblSkip val="1"/>
        <c:tickMarkSkip val="1"/>
      </c:catAx>
      <c:valAx>
        <c:axId val="534863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Mass (tonne)</a:t>
                </a:r>
              </a:p>
            </c:rich>
          </c:tx>
          <c:layout>
            <c:manualLayout>
              <c:xMode val="edge"/>
              <c:yMode val="edge"/>
              <c:x val="3.0131836968654784E-2"/>
              <c:y val="0.4248559670781892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41043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703632887189295"/>
          <c:y val="0.39184952978056425"/>
          <c:w val="0.13001912045889102"/>
          <c:h val="0.2131661442006269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>
        <c:manualLayout>
          <c:xMode val="edge"/>
          <c:yMode val="edge"/>
          <c:x val="0.47826070324205427"/>
          <c:y val="3.8297650810177657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34862326757039602"/>
          <c:y val="0.66242089720971919"/>
          <c:w val="6.880722386257819E-2"/>
          <c:h val="9.5541475559094105E-2"/>
        </c:manualLayout>
      </c:layout>
      <c:pieChart>
        <c:varyColors val="1"/>
        <c:ser>
          <c:idx val="4"/>
          <c:order val="0"/>
          <c:tx>
            <c:strRef>
              <c:f>'WAGR  Other Inter''l Results'!$F$90</c:f>
              <c:strCache>
                <c:ptCount val="1"/>
                <c:pt idx="0">
                  <c:v> USA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B14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EF383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9D56A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</c:dPt>
          <c:dPt>
            <c:idx val="5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'WAGR  Other Inter''l Results'!$A$91:$A$99</c:f>
              <c:strCache>
                <c:ptCount val="9"/>
                <c:pt idx="0">
                  <c:v>HHISO Steel</c:v>
                </c:pt>
                <c:pt idx="1">
                  <c:v>HHISO Production</c:v>
                </c:pt>
                <c:pt idx="2">
                  <c:v>Road Transport</c:v>
                </c:pt>
                <c:pt idx="3">
                  <c:v>Sea Transport</c:v>
                </c:pt>
                <c:pt idx="4">
                  <c:v>Treatment</c:v>
                </c:pt>
                <c:pt idx="5">
                  <c:v>Melting</c:v>
                </c:pt>
                <c:pt idx="6">
                  <c:v>Secondary Waste</c:v>
                </c:pt>
                <c:pt idx="7">
                  <c:v>Disposal</c:v>
                </c:pt>
                <c:pt idx="8">
                  <c:v>Grout</c:v>
                </c:pt>
              </c:strCache>
            </c:strRef>
          </c:cat>
          <c:val>
            <c:numRef>
              <c:f>'WAGR  Other Inter''l Results'!$F$91:$F$99</c:f>
              <c:numCache>
                <c:formatCode>0.00E+00</c:formatCode>
                <c:ptCount val="9"/>
                <c:pt idx="0">
                  <c:v>1000</c:v>
                </c:pt>
                <c:pt idx="1">
                  <c:v>923</c:v>
                </c:pt>
                <c:pt idx="2">
                  <c:v>10290</c:v>
                </c:pt>
                <c:pt idx="3">
                  <c:v>9796</c:v>
                </c:pt>
                <c:pt idx="4">
                  <c:v>3234</c:v>
                </c:pt>
                <c:pt idx="5">
                  <c:v>21700</c:v>
                </c:pt>
                <c:pt idx="6">
                  <c:v>3757</c:v>
                </c:pt>
                <c:pt idx="7">
                  <c:v>5252</c:v>
                </c:pt>
                <c:pt idx="8">
                  <c:v>320.7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41935483870963"/>
          <c:y val="0.45643246003075572"/>
          <c:w val="0.12903225806451613"/>
          <c:h val="0.514523864034670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>
        <c:manualLayout>
          <c:xMode val="edge"/>
          <c:yMode val="edge"/>
          <c:x val="0.46792462601367657"/>
          <c:y val="3.7815231773714236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23962264150943402"/>
          <c:y val="0.59663896147859008"/>
          <c:w val="0.12452830188679201"/>
          <c:h val="0.27731106660272503"/>
        </c:manualLayout>
      </c:layout>
      <c:pieChart>
        <c:varyColors val="1"/>
        <c:ser>
          <c:idx val="0"/>
          <c:order val="0"/>
          <c:tx>
            <c:strRef>
              <c:f>'WAGR  Other Inter''l Results'!$B$145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B14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EF383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9D56A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AEB2B1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  <c:showLeaderLines val="1"/>
          </c:dLbls>
          <c:cat>
            <c:strRef>
              <c:f>'WAGR  Other Inter''l Results'!$A$146:$A$154</c:f>
              <c:strCache>
                <c:ptCount val="9"/>
                <c:pt idx="0">
                  <c:v>HHISO Steel</c:v>
                </c:pt>
                <c:pt idx="1">
                  <c:v>HHISO Production</c:v>
                </c:pt>
                <c:pt idx="2">
                  <c:v>Road Transport</c:v>
                </c:pt>
                <c:pt idx="3">
                  <c:v>Sea Transport</c:v>
                </c:pt>
                <c:pt idx="4">
                  <c:v>Treatment</c:v>
                </c:pt>
                <c:pt idx="5">
                  <c:v>Melting</c:v>
                </c:pt>
                <c:pt idx="6">
                  <c:v>Secondary Waste</c:v>
                </c:pt>
                <c:pt idx="7">
                  <c:v>Disposal</c:v>
                </c:pt>
                <c:pt idx="8">
                  <c:v>Grout</c:v>
                </c:pt>
              </c:strCache>
            </c:strRef>
          </c:cat>
          <c:val>
            <c:numRef>
              <c:f>'WAGR  Other Inter''l Results'!$B$146:$B$154</c:f>
              <c:numCache>
                <c:formatCode>0.00E+00</c:formatCode>
                <c:ptCount val="9"/>
                <c:pt idx="0">
                  <c:v>1000</c:v>
                </c:pt>
                <c:pt idx="1">
                  <c:v>923</c:v>
                </c:pt>
                <c:pt idx="2">
                  <c:v>5820</c:v>
                </c:pt>
                <c:pt idx="3">
                  <c:v>3095</c:v>
                </c:pt>
                <c:pt idx="4">
                  <c:v>3234</c:v>
                </c:pt>
                <c:pt idx="5">
                  <c:v>4550</c:v>
                </c:pt>
                <c:pt idx="6">
                  <c:v>3757</c:v>
                </c:pt>
                <c:pt idx="7">
                  <c:v>5252</c:v>
                </c:pt>
                <c:pt idx="8">
                  <c:v>320.7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792803926415035"/>
          <c:y val="0.40666536517646035"/>
          <c:w val="0.9326431505478856"/>
          <c:h val="0.9866636298561852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>
        <c:manualLayout>
          <c:xMode val="edge"/>
          <c:yMode val="edge"/>
          <c:x val="0.44339654172441928"/>
          <c:y val="3.571406515362050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26106251093774008"/>
          <c:y val="0.70000179893554404"/>
          <c:w val="9.7345343061530032E-2"/>
          <c:h val="0.11578977125249601"/>
        </c:manualLayout>
      </c:layout>
      <c:pieChart>
        <c:varyColors val="1"/>
        <c:ser>
          <c:idx val="1"/>
          <c:order val="0"/>
          <c:tx>
            <c:strRef>
              <c:f>'WAGR  Other Inter''l Results'!$C$145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EF383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9D56A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AEB2B1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  <c:showLeaderLines val="1"/>
          </c:dLbls>
          <c:cat>
            <c:strRef>
              <c:f>'WAGR  Other Inter''l Results'!$A$146:$A$154</c:f>
              <c:strCache>
                <c:ptCount val="9"/>
                <c:pt idx="0">
                  <c:v>HHISO Steel</c:v>
                </c:pt>
                <c:pt idx="1">
                  <c:v>HHISO Production</c:v>
                </c:pt>
                <c:pt idx="2">
                  <c:v>Road Transport</c:v>
                </c:pt>
                <c:pt idx="3">
                  <c:v>Sea Transport</c:v>
                </c:pt>
                <c:pt idx="4">
                  <c:v>Treatment</c:v>
                </c:pt>
                <c:pt idx="5">
                  <c:v>Melting</c:v>
                </c:pt>
                <c:pt idx="6">
                  <c:v>Secondary Waste</c:v>
                </c:pt>
                <c:pt idx="7">
                  <c:v>Disposal</c:v>
                </c:pt>
                <c:pt idx="8">
                  <c:v>Grout</c:v>
                </c:pt>
              </c:strCache>
            </c:strRef>
          </c:cat>
          <c:val>
            <c:numRef>
              <c:f>'WAGR  Other Inter''l Results'!$C$146:$C$154</c:f>
              <c:numCache>
                <c:formatCode>0.00E+00</c:formatCode>
                <c:ptCount val="9"/>
                <c:pt idx="0">
                  <c:v>1000</c:v>
                </c:pt>
                <c:pt idx="1">
                  <c:v>923</c:v>
                </c:pt>
                <c:pt idx="2">
                  <c:v>4402</c:v>
                </c:pt>
                <c:pt idx="3">
                  <c:v>0</c:v>
                </c:pt>
                <c:pt idx="4">
                  <c:v>3234</c:v>
                </c:pt>
                <c:pt idx="5">
                  <c:v>17500</c:v>
                </c:pt>
                <c:pt idx="6">
                  <c:v>3757</c:v>
                </c:pt>
                <c:pt idx="7">
                  <c:v>5252</c:v>
                </c:pt>
                <c:pt idx="8">
                  <c:v>320.7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273705501322202"/>
          <c:y val="0.52777956739490894"/>
          <c:w val="0.12359595767482179"/>
          <c:h val="0.4583348874745262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631572454989501"/>
          <c:y val="0.22307692307692301"/>
          <c:w val="0.84842061656012724"/>
          <c:h val="0.52307692307692288"/>
        </c:manualLayout>
      </c:layout>
      <c:barChart>
        <c:barDir val="col"/>
        <c:grouping val="stacked"/>
        <c:ser>
          <c:idx val="0"/>
          <c:order val="0"/>
          <c:tx>
            <c:strRef>
              <c:f>'WAGR  Other Inter''l Results'!$W$91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AC090"/>
            </a:solidFill>
            <a:ln w="25400">
              <a:noFill/>
            </a:ln>
          </c:spPr>
          <c:cat>
            <c:strRef>
              <c:f>'WAGR  Other Inter''l Results'!$X$90:$AB$90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 USA</c:v>
                </c:pt>
              </c:strCache>
            </c:strRef>
          </c:cat>
          <c:val>
            <c:numRef>
              <c:f>'WAGR  Other Inter''l Results'!$X$91:$AB$91</c:f>
              <c:numCache>
                <c:formatCode>0.00</c:formatCode>
                <c:ptCount val="5"/>
                <c:pt idx="0">
                  <c:v>0.80645161290322576</c:v>
                </c:pt>
                <c:pt idx="1">
                  <c:v>0.80645161290322576</c:v>
                </c:pt>
                <c:pt idx="2">
                  <c:v>0.80645161290322576</c:v>
                </c:pt>
                <c:pt idx="3">
                  <c:v>0.80645161290322576</c:v>
                </c:pt>
                <c:pt idx="4">
                  <c:v>0.80645161290322576</c:v>
                </c:pt>
              </c:numCache>
            </c:numRef>
          </c:val>
        </c:ser>
        <c:ser>
          <c:idx val="1"/>
          <c:order val="1"/>
          <c:tx>
            <c:strRef>
              <c:f>'WAGR  Other Inter''l Results'!$W$92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cat>
            <c:strRef>
              <c:f>'WAGR  Other Inter''l Results'!$X$90:$AB$90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 USA</c:v>
                </c:pt>
              </c:strCache>
            </c:strRef>
          </c:cat>
          <c:val>
            <c:numRef>
              <c:f>'WAGR  Other Inter''l Results'!$X$92:$AB$92</c:f>
              <c:numCache>
                <c:formatCode>0.00</c:formatCode>
                <c:ptCount val="5"/>
                <c:pt idx="0">
                  <c:v>0.74435483870967745</c:v>
                </c:pt>
                <c:pt idx="1">
                  <c:v>0.74435483870967745</c:v>
                </c:pt>
                <c:pt idx="2">
                  <c:v>0.74435483870967745</c:v>
                </c:pt>
                <c:pt idx="3">
                  <c:v>0.74435483870967745</c:v>
                </c:pt>
                <c:pt idx="4">
                  <c:v>0.74435483870967745</c:v>
                </c:pt>
              </c:numCache>
            </c:numRef>
          </c:val>
        </c:ser>
        <c:ser>
          <c:idx val="2"/>
          <c:order val="2"/>
          <c:tx>
            <c:strRef>
              <c:f>'WAGR  Other Inter''l Results'!$W$93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strRef>
              <c:f>'WAGR  Other Inter''l Results'!$X$90:$AB$90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 USA</c:v>
                </c:pt>
              </c:strCache>
            </c:strRef>
          </c:cat>
          <c:val>
            <c:numRef>
              <c:f>'WAGR  Other Inter''l Results'!$X$93:$AB$93</c:f>
              <c:numCache>
                <c:formatCode>0.00</c:formatCode>
                <c:ptCount val="5"/>
                <c:pt idx="0">
                  <c:v>4.693548387096774</c:v>
                </c:pt>
                <c:pt idx="1">
                  <c:v>3.0766129032258065</c:v>
                </c:pt>
                <c:pt idx="2">
                  <c:v>3.8451612903225811</c:v>
                </c:pt>
                <c:pt idx="3">
                  <c:v>2.907258064516129</c:v>
                </c:pt>
                <c:pt idx="4">
                  <c:v>8.2983870967741922</c:v>
                </c:pt>
              </c:numCache>
            </c:numRef>
          </c:val>
        </c:ser>
        <c:ser>
          <c:idx val="3"/>
          <c:order val="3"/>
          <c:tx>
            <c:strRef>
              <c:f>'WAGR  Other Inter''l Results'!$W$94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cat>
            <c:strRef>
              <c:f>'WAGR  Other Inter''l Results'!$X$90:$AB$90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 USA</c:v>
                </c:pt>
              </c:strCache>
            </c:strRef>
          </c:cat>
          <c:val>
            <c:numRef>
              <c:f>'WAGR  Other Inter''l Results'!$X$94:$AB$94</c:f>
              <c:numCache>
                <c:formatCode>0.00</c:formatCode>
                <c:ptCount val="5"/>
                <c:pt idx="0">
                  <c:v>2.495967741935484</c:v>
                </c:pt>
                <c:pt idx="1">
                  <c:v>5.161290322580645</c:v>
                </c:pt>
                <c:pt idx="2">
                  <c:v>1.8088709677419355</c:v>
                </c:pt>
                <c:pt idx="3">
                  <c:v>4.5161290322580641</c:v>
                </c:pt>
                <c:pt idx="4">
                  <c:v>7.9</c:v>
                </c:pt>
              </c:numCache>
            </c:numRef>
          </c:val>
        </c:ser>
        <c:ser>
          <c:idx val="4"/>
          <c:order val="4"/>
          <c:tx>
            <c:strRef>
              <c:f>'WAGR  Other Inter''l Results'!$W$95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7F7F7F"/>
            </a:solidFill>
            <a:ln w="25400">
              <a:noFill/>
            </a:ln>
          </c:spPr>
          <c:cat>
            <c:strRef>
              <c:f>'WAGR  Other Inter''l Results'!$X$90:$AB$90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 USA</c:v>
                </c:pt>
              </c:strCache>
            </c:strRef>
          </c:cat>
          <c:val>
            <c:numRef>
              <c:f>'WAGR  Other Inter''l Results'!$X$95:$AB$95</c:f>
              <c:numCache>
                <c:formatCode>0.00</c:formatCode>
                <c:ptCount val="5"/>
                <c:pt idx="0">
                  <c:v>2.6080645161290321</c:v>
                </c:pt>
                <c:pt idx="1">
                  <c:v>2.6080645161290321</c:v>
                </c:pt>
                <c:pt idx="2">
                  <c:v>2.6080645161290321</c:v>
                </c:pt>
                <c:pt idx="3">
                  <c:v>2.6080645161290321</c:v>
                </c:pt>
                <c:pt idx="4">
                  <c:v>2.6080645161290321</c:v>
                </c:pt>
              </c:numCache>
            </c:numRef>
          </c:val>
        </c:ser>
        <c:ser>
          <c:idx val="5"/>
          <c:order val="5"/>
          <c:tx>
            <c:strRef>
              <c:f>'WAGR  Other Inter''l Results'!$W$96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64CC0D"/>
            </a:solidFill>
            <a:ln w="25400">
              <a:noFill/>
            </a:ln>
          </c:spPr>
          <c:cat>
            <c:strRef>
              <c:f>'WAGR  Other Inter''l Results'!$X$90:$AB$90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 USA</c:v>
                </c:pt>
              </c:strCache>
            </c:strRef>
          </c:cat>
          <c:val>
            <c:numRef>
              <c:f>'WAGR  Other Inter''l Results'!$X$96:$AB$96</c:f>
              <c:numCache>
                <c:formatCode>0.00</c:formatCode>
                <c:ptCount val="5"/>
                <c:pt idx="0">
                  <c:v>3.669354838709677</c:v>
                </c:pt>
                <c:pt idx="1">
                  <c:v>2.879032258064516</c:v>
                </c:pt>
                <c:pt idx="2">
                  <c:v>8.5483870967741939</c:v>
                </c:pt>
                <c:pt idx="3">
                  <c:v>8.5483870967741939</c:v>
                </c:pt>
                <c:pt idx="4">
                  <c:v>17.5</c:v>
                </c:pt>
              </c:numCache>
            </c:numRef>
          </c:val>
        </c:ser>
        <c:ser>
          <c:idx val="6"/>
          <c:order val="6"/>
          <c:tx>
            <c:strRef>
              <c:f>'WAGR  Other Inter''l Results'!$W$97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00090"/>
            </a:solidFill>
            <a:ln w="25400">
              <a:noFill/>
            </a:ln>
          </c:spPr>
          <c:cat>
            <c:strRef>
              <c:f>'WAGR  Other Inter''l Results'!$X$90:$AB$90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 USA</c:v>
                </c:pt>
              </c:strCache>
            </c:strRef>
          </c:cat>
          <c:val>
            <c:numRef>
              <c:f>'WAGR  Other Inter''l Results'!$X$97:$AB$97</c:f>
              <c:numCache>
                <c:formatCode>0.00</c:formatCode>
                <c:ptCount val="5"/>
                <c:pt idx="0">
                  <c:v>3.0298387096774193</c:v>
                </c:pt>
                <c:pt idx="1">
                  <c:v>3.0298387096774193</c:v>
                </c:pt>
                <c:pt idx="2">
                  <c:v>3.0298387096774193</c:v>
                </c:pt>
                <c:pt idx="3">
                  <c:v>3.0298387096774193</c:v>
                </c:pt>
                <c:pt idx="4">
                  <c:v>3.0298387096774193</c:v>
                </c:pt>
              </c:numCache>
            </c:numRef>
          </c:val>
        </c:ser>
        <c:ser>
          <c:idx val="7"/>
          <c:order val="7"/>
          <c:tx>
            <c:strRef>
              <c:f>'WAGR  Other Inter''l Results'!$W$98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D98586"/>
            </a:solidFill>
            <a:ln w="25400">
              <a:noFill/>
            </a:ln>
          </c:spPr>
          <c:cat>
            <c:strRef>
              <c:f>'WAGR  Other Inter''l Results'!$X$90:$AB$90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 USA</c:v>
                </c:pt>
              </c:strCache>
            </c:strRef>
          </c:cat>
          <c:val>
            <c:numRef>
              <c:f>'WAGR  Other Inter''l Results'!$X$98:$AB$98</c:f>
              <c:numCache>
                <c:formatCode>0.00</c:formatCode>
                <c:ptCount val="5"/>
                <c:pt idx="0">
                  <c:v>4.2354838709677418</c:v>
                </c:pt>
                <c:pt idx="1">
                  <c:v>4.2354838709677418</c:v>
                </c:pt>
                <c:pt idx="2">
                  <c:v>4.2354838709677418</c:v>
                </c:pt>
                <c:pt idx="3">
                  <c:v>4.2354838709677418</c:v>
                </c:pt>
                <c:pt idx="4">
                  <c:v>4.2354838709677418</c:v>
                </c:pt>
              </c:numCache>
            </c:numRef>
          </c:val>
        </c:ser>
        <c:ser>
          <c:idx val="8"/>
          <c:order val="8"/>
          <c:tx>
            <c:strRef>
              <c:f>'WAGR  Other Inter''l Results'!$W$99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cat>
            <c:strRef>
              <c:f>'WAGR  Other Inter''l Results'!$X$90:$AB$90</c:f>
              <c:strCache>
                <c:ptCount val="5"/>
                <c:pt idx="0">
                  <c:v>Sweden</c:v>
                </c:pt>
                <c:pt idx="1">
                  <c:v>France</c:v>
                </c:pt>
                <c:pt idx="2">
                  <c:v>Germany</c:v>
                </c:pt>
                <c:pt idx="3">
                  <c:v>Russian Federation</c:v>
                </c:pt>
                <c:pt idx="4">
                  <c:v> USA</c:v>
                </c:pt>
              </c:strCache>
            </c:strRef>
          </c:cat>
          <c:val>
            <c:numRef>
              <c:f>'WAGR  Other Inter''l Results'!$X$99:$AB$99</c:f>
              <c:numCache>
                <c:formatCode>0.00</c:formatCode>
                <c:ptCount val="5"/>
                <c:pt idx="0">
                  <c:v>0.2586290322580645</c:v>
                </c:pt>
                <c:pt idx="1">
                  <c:v>0.2586290322580645</c:v>
                </c:pt>
                <c:pt idx="2">
                  <c:v>0.2586290322580645</c:v>
                </c:pt>
                <c:pt idx="3">
                  <c:v>0.2586290322580645</c:v>
                </c:pt>
                <c:pt idx="4">
                  <c:v>0.2586290322580645</c:v>
                </c:pt>
              </c:numCache>
            </c:numRef>
          </c:val>
        </c:ser>
        <c:overlap val="100"/>
        <c:axId val="61136256"/>
        <c:axId val="61154816"/>
      </c:barChart>
      <c:catAx>
        <c:axId val="611362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>
                    <a:latin typeface="Arial" pitchFamily="34" charset="0"/>
                    <a:cs typeface="Arial" pitchFamily="34" charset="0"/>
                  </a:defRPr>
                </a:pPr>
                <a:r>
                  <a:rPr lang="en-GB" sz="900" b="0">
                    <a:latin typeface="Arial" pitchFamily="34" charset="0"/>
                    <a:cs typeface="Arial" pitchFamily="34" charset="0"/>
                  </a:rPr>
                  <a:t>Material</a:t>
                </a:r>
                <a:r>
                  <a:rPr lang="en-GB" sz="900" b="0" baseline="0">
                    <a:latin typeface="Arial" pitchFamily="34" charset="0"/>
                    <a:cs typeface="Arial" pitchFamily="34" charset="0"/>
                  </a:rPr>
                  <a:t> and Process Impacts for International Treatment</a:t>
                </a:r>
                <a:endParaRPr lang="en-GB" sz="900" b="0">
                  <a:latin typeface="Arial" pitchFamily="34" charset="0"/>
                  <a:cs typeface="Arial" pitchFamily="34" charset="0"/>
                </a:endParaRPr>
              </a:p>
            </c:rich>
          </c:tx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/>
          <a:lstStyle/>
          <a:p>
            <a:pPr>
              <a:defRPr lang="en-GB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61154816"/>
        <c:crossesAt val="0"/>
        <c:auto val="1"/>
        <c:lblAlgn val="ctr"/>
        <c:lblOffset val="100"/>
      </c:catAx>
      <c:valAx>
        <c:axId val="61154816"/>
        <c:scaling>
          <c:orientation val="minMax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GB" sz="900" b="0">
                    <a:latin typeface="Arial" pitchFamily="34" charset="0"/>
                    <a:cs typeface="Arial" pitchFamily="34" charset="0"/>
                  </a:defRPr>
                </a:pPr>
                <a:r>
                  <a:rPr lang="en-GB" sz="900" b="0">
                    <a:latin typeface="Arial" pitchFamily="34" charset="0"/>
                    <a:cs typeface="Arial" pitchFamily="34" charset="0"/>
                  </a:rPr>
                  <a:t>Percentage</a:t>
                </a:r>
                <a:r>
                  <a:rPr lang="en-GB" sz="900" b="0" baseline="0">
                    <a:latin typeface="Arial" pitchFamily="34" charset="0"/>
                    <a:cs typeface="Arial" pitchFamily="34" charset="0"/>
                  </a:rPr>
                  <a:t> of Total  Direct Disposal Impact</a:t>
                </a:r>
                <a:endParaRPr lang="en-GB" sz="90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1.9444613622192252E-2"/>
              <c:y val="0.12894088753044686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/>
          <a:lstStyle/>
          <a:p>
            <a:pPr>
              <a:defRPr lang="en-GB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6113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372693726937271"/>
          <c:y val="1.2886614155391928E-2"/>
          <c:w val="0.65682656826568264"/>
          <c:h val="0.20618582648627085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GB" sz="9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969696"/>
      </a:solidFill>
      <a:prstDash val="solid"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8823444258291343E-2"/>
          <c:y val="0.215790028243288"/>
          <c:w val="0.87529336343058117"/>
          <c:h val="0.57368568484191196"/>
        </c:manualLayout>
      </c:layout>
      <c:barChart>
        <c:barDir val="col"/>
        <c:grouping val="stacked"/>
        <c:ser>
          <c:idx val="0"/>
          <c:order val="0"/>
          <c:tx>
            <c:strRef>
              <c:f>'WAGR  Other Inter''l Results'!$R$146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AC090"/>
            </a:solidFill>
            <a:ln w="25400">
              <a:noFill/>
            </a:ln>
          </c:spPr>
          <c:cat>
            <c:strRef>
              <c:f>'WAGR  Other Inter''l Results'!$S$145:$T$145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Results'!$S$146:$T$146</c:f>
              <c:numCache>
                <c:formatCode>0.00E+00</c:formatCode>
                <c:ptCount val="2"/>
                <c:pt idx="0">
                  <c:v>0.80645161290322576</c:v>
                </c:pt>
                <c:pt idx="1">
                  <c:v>0.80645161290322576</c:v>
                </c:pt>
              </c:numCache>
            </c:numRef>
          </c:val>
        </c:ser>
        <c:ser>
          <c:idx val="1"/>
          <c:order val="1"/>
          <c:tx>
            <c:strRef>
              <c:f>'WAGR  Other Inter''l Results'!$R$147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cat>
            <c:strRef>
              <c:f>'WAGR  Other Inter''l Results'!$S$145:$T$145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Results'!$S$147:$T$147</c:f>
              <c:numCache>
                <c:formatCode>0.00E+00</c:formatCode>
                <c:ptCount val="2"/>
                <c:pt idx="0">
                  <c:v>0.74435483870967745</c:v>
                </c:pt>
                <c:pt idx="1">
                  <c:v>0.74435483870967745</c:v>
                </c:pt>
              </c:numCache>
            </c:numRef>
          </c:val>
        </c:ser>
        <c:ser>
          <c:idx val="2"/>
          <c:order val="2"/>
          <c:tx>
            <c:strRef>
              <c:f>'WAGR  Other Inter''l Results'!$R$148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strRef>
              <c:f>'WAGR  Other Inter''l Results'!$S$145:$T$145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Results'!$S$148:$T$148</c:f>
              <c:numCache>
                <c:formatCode>0.00E+00</c:formatCode>
                <c:ptCount val="2"/>
                <c:pt idx="0">
                  <c:v>4.693548387096774</c:v>
                </c:pt>
                <c:pt idx="1">
                  <c:v>3.55</c:v>
                </c:pt>
              </c:numCache>
            </c:numRef>
          </c:val>
        </c:ser>
        <c:ser>
          <c:idx val="3"/>
          <c:order val="3"/>
          <c:tx>
            <c:strRef>
              <c:f>'WAGR  Other Inter''l Results'!$R$149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cat>
            <c:strRef>
              <c:f>'WAGR  Other Inter''l Results'!$S$145:$T$145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Results'!$S$149:$T$149</c:f>
              <c:numCache>
                <c:formatCode>0.00E+00</c:formatCode>
                <c:ptCount val="2"/>
                <c:pt idx="0">
                  <c:v>2.495967741935484</c:v>
                </c:pt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strRef>
              <c:f>'WAGR  Other Inter''l Results'!$R$150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7F7F7F"/>
            </a:solidFill>
            <a:ln w="25400">
              <a:noFill/>
            </a:ln>
          </c:spPr>
          <c:cat>
            <c:strRef>
              <c:f>'WAGR  Other Inter''l Results'!$S$145:$T$145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Results'!$S$150:$T$150</c:f>
              <c:numCache>
                <c:formatCode>0.00E+00</c:formatCode>
                <c:ptCount val="2"/>
                <c:pt idx="0">
                  <c:v>2.6080645161290321</c:v>
                </c:pt>
                <c:pt idx="1">
                  <c:v>2.6080645161290321</c:v>
                </c:pt>
              </c:numCache>
            </c:numRef>
          </c:val>
        </c:ser>
        <c:ser>
          <c:idx val="5"/>
          <c:order val="5"/>
          <c:tx>
            <c:strRef>
              <c:f>'WAGR  Other Inter''l Results'!$R$151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64CC0D"/>
            </a:solidFill>
            <a:ln w="25400">
              <a:noFill/>
            </a:ln>
          </c:spPr>
          <c:cat>
            <c:strRef>
              <c:f>'WAGR  Other Inter''l Results'!$S$145:$T$145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Results'!$S$151:$T$151</c:f>
              <c:numCache>
                <c:formatCode>0.00E+00</c:formatCode>
                <c:ptCount val="2"/>
                <c:pt idx="0">
                  <c:v>3.669354838709677</c:v>
                </c:pt>
                <c:pt idx="1">
                  <c:v>14.112903225806454</c:v>
                </c:pt>
              </c:numCache>
            </c:numRef>
          </c:val>
        </c:ser>
        <c:ser>
          <c:idx val="6"/>
          <c:order val="6"/>
          <c:tx>
            <c:strRef>
              <c:f>'WAGR  Other Inter''l Results'!$R$152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00090"/>
            </a:solidFill>
            <a:ln w="25400">
              <a:noFill/>
            </a:ln>
          </c:spPr>
          <c:cat>
            <c:strRef>
              <c:f>'WAGR  Other Inter''l Results'!$S$145:$T$145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Results'!$S$152:$T$152</c:f>
              <c:numCache>
                <c:formatCode>0.00E+00</c:formatCode>
                <c:ptCount val="2"/>
                <c:pt idx="0">
                  <c:v>3.0298387096774193</c:v>
                </c:pt>
                <c:pt idx="1">
                  <c:v>3.0298387096774193</c:v>
                </c:pt>
              </c:numCache>
            </c:numRef>
          </c:val>
        </c:ser>
        <c:ser>
          <c:idx val="7"/>
          <c:order val="7"/>
          <c:tx>
            <c:strRef>
              <c:f>'WAGR  Other Inter''l Results'!$R$153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D98586"/>
            </a:solidFill>
            <a:ln w="25400">
              <a:noFill/>
            </a:ln>
          </c:spPr>
          <c:cat>
            <c:strRef>
              <c:f>'WAGR  Other Inter''l Results'!$S$145:$T$145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Results'!$S$153:$T$153</c:f>
              <c:numCache>
                <c:formatCode>0.00E+00</c:formatCode>
                <c:ptCount val="2"/>
                <c:pt idx="0">
                  <c:v>4.2354838709677418</c:v>
                </c:pt>
                <c:pt idx="1">
                  <c:v>4.2354838709677418</c:v>
                </c:pt>
              </c:numCache>
            </c:numRef>
          </c:val>
        </c:ser>
        <c:ser>
          <c:idx val="8"/>
          <c:order val="8"/>
          <c:tx>
            <c:strRef>
              <c:f>'WAGR  Other Inter''l Results'!$R$154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cat>
            <c:strRef>
              <c:f>'WAGR  Other Inter''l Results'!$S$145:$T$145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Results'!$S$154:$T$154</c:f>
              <c:numCache>
                <c:formatCode>0.00E+00</c:formatCode>
                <c:ptCount val="2"/>
                <c:pt idx="0">
                  <c:v>0.2586290322580645</c:v>
                </c:pt>
                <c:pt idx="1">
                  <c:v>0.2586290322580645</c:v>
                </c:pt>
              </c:numCache>
            </c:numRef>
          </c:val>
        </c:ser>
        <c:overlap val="100"/>
        <c:axId val="61243392"/>
        <c:axId val="61245312"/>
      </c:barChart>
      <c:catAx>
        <c:axId val="612433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>
                    <a:latin typeface="Arial" pitchFamily="34" charset="0"/>
                    <a:cs typeface="Arial" pitchFamily="34" charset="0"/>
                  </a:defRPr>
                </a:pPr>
                <a:r>
                  <a:rPr lang="en-GB" sz="900" b="0">
                    <a:latin typeface="Arial" pitchFamily="34" charset="0"/>
                    <a:cs typeface="Arial" pitchFamily="34" charset="0"/>
                  </a:rPr>
                  <a:t>Material</a:t>
                </a:r>
                <a:r>
                  <a:rPr lang="en-GB" sz="900" b="0" baseline="0">
                    <a:latin typeface="Arial" pitchFamily="34" charset="0"/>
                    <a:cs typeface="Arial" pitchFamily="34" charset="0"/>
                  </a:rPr>
                  <a:t> and Process Impacts for Treatment</a:t>
                </a:r>
                <a:endParaRPr lang="en-GB" sz="900" b="0">
                  <a:latin typeface="Arial" pitchFamily="34" charset="0"/>
                  <a:cs typeface="Arial" pitchFamily="34" charset="0"/>
                </a:endParaRPr>
              </a:p>
            </c:rich>
          </c:tx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/>
          <a:lstStyle/>
          <a:p>
            <a:pPr>
              <a:defRPr lang="en-GB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61245312"/>
        <c:crosses val="autoZero"/>
        <c:auto val="1"/>
        <c:lblAlgn val="ctr"/>
        <c:lblOffset val="100"/>
      </c:catAx>
      <c:valAx>
        <c:axId val="61245312"/>
        <c:scaling>
          <c:orientation val="minMax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GB" sz="900" b="0">
                    <a:latin typeface="Arial" pitchFamily="34" charset="0"/>
                    <a:cs typeface="Arial" pitchFamily="34" charset="0"/>
                  </a:defRPr>
                </a:pPr>
                <a:r>
                  <a:rPr lang="en-GB" sz="900" b="0">
                    <a:latin typeface="Arial" pitchFamily="34" charset="0"/>
                    <a:cs typeface="Arial" pitchFamily="34" charset="0"/>
                  </a:rPr>
                  <a:t>Percentage</a:t>
                </a:r>
                <a:r>
                  <a:rPr lang="en-GB" sz="900" b="0" baseline="0">
                    <a:latin typeface="Arial" pitchFamily="34" charset="0"/>
                    <a:cs typeface="Arial" pitchFamily="34" charset="0"/>
                  </a:rPr>
                  <a:t> of Total  Direct Disposal Impact</a:t>
                </a:r>
                <a:endParaRPr lang="en-GB" sz="90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8.6076461537642479E-3"/>
              <c:y val="0.13952319973844102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/>
          <a:lstStyle/>
          <a:p>
            <a:pPr>
              <a:defRPr lang="en-GB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612433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308981415502366"/>
          <c:y val="2.0833403976114828E-2"/>
          <c:w val="0.66666798992471321"/>
          <c:h val="0.18055616779299519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GB" sz="9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969696"/>
      </a:solidFill>
      <a:prstDash val="solid"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452830188679201"/>
          <c:y val="0.21582733812949606"/>
          <c:w val="0.85660377358490614"/>
          <c:h val="0.65827338129496393"/>
        </c:manualLayout>
      </c:layout>
      <c:barChart>
        <c:barDir val="col"/>
        <c:grouping val="stacked"/>
        <c:ser>
          <c:idx val="0"/>
          <c:order val="0"/>
          <c:tx>
            <c:strRef>
              <c:f>'WAGR Recycling Variations'!$A$3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Variations'!$B$2:$E$2</c:f>
              <c:strCache>
                <c:ptCount val="4"/>
                <c:pt idx="0">
                  <c:v>Pig Iron </c:v>
                </c:pt>
                <c:pt idx="1">
                  <c:v>Unalloyed Steel</c:v>
                </c:pt>
                <c:pt idx="2">
                  <c:v>Electric un- and low-alloyed steel</c:v>
                </c:pt>
                <c:pt idx="3">
                  <c:v>Unalloyed Steel with Electric Steel Off-set</c:v>
                </c:pt>
              </c:strCache>
            </c:strRef>
          </c:cat>
          <c:val>
            <c:numRef>
              <c:f>'WAGR Recycling Variations'!$B$3:$E$3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Recycling Variations'!$A$4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Variations'!$B$2:$E$2</c:f>
              <c:strCache>
                <c:ptCount val="4"/>
                <c:pt idx="0">
                  <c:v>Pig Iron </c:v>
                </c:pt>
                <c:pt idx="1">
                  <c:v>Unalloyed Steel</c:v>
                </c:pt>
                <c:pt idx="2">
                  <c:v>Electric un- and low-alloyed steel</c:v>
                </c:pt>
                <c:pt idx="3">
                  <c:v>Unalloyed Steel with Electric Steel Off-set</c:v>
                </c:pt>
              </c:strCache>
            </c:strRef>
          </c:cat>
          <c:val>
            <c:numRef>
              <c:f>'WAGR Recycling Variations'!$B$4:$E$4</c:f>
              <c:numCache>
                <c:formatCode>0.00E+00</c:formatCode>
                <c:ptCount val="4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</c:numCache>
            </c:numRef>
          </c:val>
        </c:ser>
        <c:ser>
          <c:idx val="2"/>
          <c:order val="2"/>
          <c:tx>
            <c:strRef>
              <c:f>'WAGR Recycling Variations'!$A$5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Variations'!$B$2:$E$2</c:f>
              <c:strCache>
                <c:ptCount val="4"/>
                <c:pt idx="0">
                  <c:v>Pig Iron </c:v>
                </c:pt>
                <c:pt idx="1">
                  <c:v>Unalloyed Steel</c:v>
                </c:pt>
                <c:pt idx="2">
                  <c:v>Electric un- and low-alloyed steel</c:v>
                </c:pt>
                <c:pt idx="3">
                  <c:v>Unalloyed Steel with Electric Steel Off-set</c:v>
                </c:pt>
              </c:strCache>
            </c:strRef>
          </c:cat>
          <c:val>
            <c:numRef>
              <c:f>'WAGR Recycling Variations'!$B$5:$E$5</c:f>
              <c:numCache>
                <c:formatCode>0.00E+00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'WAGR Recycling Variations'!$A$6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Variations'!$B$2:$E$2</c:f>
              <c:strCache>
                <c:ptCount val="4"/>
                <c:pt idx="0">
                  <c:v>Pig Iron </c:v>
                </c:pt>
                <c:pt idx="1">
                  <c:v>Unalloyed Steel</c:v>
                </c:pt>
                <c:pt idx="2">
                  <c:v>Electric un- and low-alloyed steel</c:v>
                </c:pt>
                <c:pt idx="3">
                  <c:v>Unalloyed Steel with Electric Steel Off-set</c:v>
                </c:pt>
              </c:strCache>
            </c:strRef>
          </c:cat>
          <c:val>
            <c:numRef>
              <c:f>'WAGR Recycling Variations'!$B$6:$E$6</c:f>
              <c:numCache>
                <c:formatCode>0.00E+00</c:formatCode>
                <c:ptCount val="4"/>
                <c:pt idx="0">
                  <c:v>5578</c:v>
                </c:pt>
                <c:pt idx="1">
                  <c:v>5578</c:v>
                </c:pt>
                <c:pt idx="2">
                  <c:v>5578</c:v>
                </c:pt>
                <c:pt idx="3">
                  <c:v>5578</c:v>
                </c:pt>
              </c:numCache>
            </c:numRef>
          </c:val>
        </c:ser>
        <c:ser>
          <c:idx val="4"/>
          <c:order val="4"/>
          <c:tx>
            <c:strRef>
              <c:f>'WAGR Recycling Variations'!$A$7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Variations'!$B$2:$E$2</c:f>
              <c:strCache>
                <c:ptCount val="4"/>
                <c:pt idx="0">
                  <c:v>Pig Iron </c:v>
                </c:pt>
                <c:pt idx="1">
                  <c:v>Unalloyed Steel</c:v>
                </c:pt>
                <c:pt idx="2">
                  <c:v>Electric un- and low-alloyed steel</c:v>
                </c:pt>
                <c:pt idx="3">
                  <c:v>Unalloyed Steel with Electric Steel Off-set</c:v>
                </c:pt>
              </c:strCache>
            </c:strRef>
          </c:cat>
          <c:val>
            <c:numRef>
              <c:f>'WAGR Recycling Variations'!$B$7:$E$7</c:f>
              <c:numCache>
                <c:formatCode>0.00E+00</c:formatCode>
                <c:ptCount val="4"/>
                <c:pt idx="0">
                  <c:v>2967</c:v>
                </c:pt>
                <c:pt idx="1">
                  <c:v>2967</c:v>
                </c:pt>
                <c:pt idx="2">
                  <c:v>2967</c:v>
                </c:pt>
                <c:pt idx="3">
                  <c:v>2967</c:v>
                </c:pt>
              </c:numCache>
            </c:numRef>
          </c:val>
        </c:ser>
        <c:ser>
          <c:idx val="5"/>
          <c:order val="5"/>
          <c:tx>
            <c:strRef>
              <c:f>'WAGR Recycling Variations'!$A$8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Variations'!$B$2:$E$2</c:f>
              <c:strCache>
                <c:ptCount val="4"/>
                <c:pt idx="0">
                  <c:v>Pig Iron </c:v>
                </c:pt>
                <c:pt idx="1">
                  <c:v>Unalloyed Steel</c:v>
                </c:pt>
                <c:pt idx="2">
                  <c:v>Electric un- and low-alloyed steel</c:v>
                </c:pt>
                <c:pt idx="3">
                  <c:v>Unalloyed Steel with Electric Steel Off-set</c:v>
                </c:pt>
              </c:strCache>
            </c:strRef>
          </c:cat>
          <c:val>
            <c:numRef>
              <c:f>'WAGR Recycling Variations'!$B$8:$E$8</c:f>
              <c:numCache>
                <c:formatCode>0.00E+00</c:formatCode>
                <c:ptCount val="4"/>
                <c:pt idx="0">
                  <c:v>3234</c:v>
                </c:pt>
                <c:pt idx="1">
                  <c:v>3234</c:v>
                </c:pt>
                <c:pt idx="2">
                  <c:v>3234</c:v>
                </c:pt>
                <c:pt idx="3">
                  <c:v>3234</c:v>
                </c:pt>
              </c:numCache>
            </c:numRef>
          </c:val>
        </c:ser>
        <c:ser>
          <c:idx val="6"/>
          <c:order val="6"/>
          <c:tx>
            <c:strRef>
              <c:f>'WAGR Recycling Variations'!$A$9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Variations'!$B$2:$E$2</c:f>
              <c:strCache>
                <c:ptCount val="4"/>
                <c:pt idx="0">
                  <c:v>Pig Iron </c:v>
                </c:pt>
                <c:pt idx="1">
                  <c:v>Unalloyed Steel</c:v>
                </c:pt>
                <c:pt idx="2">
                  <c:v>Electric un- and low-alloyed steel</c:v>
                </c:pt>
                <c:pt idx="3">
                  <c:v>Unalloyed Steel with Electric Steel Off-set</c:v>
                </c:pt>
              </c:strCache>
            </c:strRef>
          </c:cat>
          <c:val>
            <c:numRef>
              <c:f>'WAGR Recycling Variations'!$B$9:$E$9</c:f>
              <c:numCache>
                <c:formatCode>0.00E+00</c:formatCode>
                <c:ptCount val="4"/>
                <c:pt idx="0">
                  <c:v>4550</c:v>
                </c:pt>
                <c:pt idx="1">
                  <c:v>4550</c:v>
                </c:pt>
                <c:pt idx="2">
                  <c:v>4550</c:v>
                </c:pt>
                <c:pt idx="3">
                  <c:v>4550</c:v>
                </c:pt>
              </c:numCache>
            </c:numRef>
          </c:val>
        </c:ser>
        <c:ser>
          <c:idx val="7"/>
          <c:order val="7"/>
          <c:tx>
            <c:strRef>
              <c:f>'WAGR Recycling Variations'!$A$10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Variations'!$B$2:$E$2</c:f>
              <c:strCache>
                <c:ptCount val="4"/>
                <c:pt idx="0">
                  <c:v>Pig Iron </c:v>
                </c:pt>
                <c:pt idx="1">
                  <c:v>Unalloyed Steel</c:v>
                </c:pt>
                <c:pt idx="2">
                  <c:v>Electric un- and low-alloyed steel</c:v>
                </c:pt>
                <c:pt idx="3">
                  <c:v>Unalloyed Steel with Electric Steel Off-set</c:v>
                </c:pt>
              </c:strCache>
            </c:strRef>
          </c:cat>
          <c:val>
            <c:numRef>
              <c:f>'WAGR Recycling Variations'!$B$10:$E$10</c:f>
              <c:numCache>
                <c:formatCode>0.00E+00</c:formatCode>
                <c:ptCount val="4"/>
                <c:pt idx="0">
                  <c:v>3804</c:v>
                </c:pt>
                <c:pt idx="1">
                  <c:v>3804</c:v>
                </c:pt>
                <c:pt idx="2">
                  <c:v>3804</c:v>
                </c:pt>
                <c:pt idx="3">
                  <c:v>3804</c:v>
                </c:pt>
              </c:numCache>
            </c:numRef>
          </c:val>
        </c:ser>
        <c:ser>
          <c:idx val="8"/>
          <c:order val="8"/>
          <c:tx>
            <c:strRef>
              <c:f>'WAGR Recycling Variations'!$A$11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Variations'!$B$2:$E$2</c:f>
              <c:strCache>
                <c:ptCount val="4"/>
                <c:pt idx="0">
                  <c:v>Pig Iron </c:v>
                </c:pt>
                <c:pt idx="1">
                  <c:v>Unalloyed Steel</c:v>
                </c:pt>
                <c:pt idx="2">
                  <c:v>Electric un- and low-alloyed steel</c:v>
                </c:pt>
                <c:pt idx="3">
                  <c:v>Unalloyed Steel with Electric Steel Off-set</c:v>
                </c:pt>
              </c:strCache>
            </c:strRef>
          </c:cat>
          <c:val>
            <c:numRef>
              <c:f>'WAGR Recycling Variations'!$B$11:$E$11</c:f>
              <c:numCache>
                <c:formatCode>0.00E+00</c:formatCode>
                <c:ptCount val="4"/>
                <c:pt idx="0">
                  <c:v>-111000</c:v>
                </c:pt>
                <c:pt idx="1">
                  <c:v>-118000</c:v>
                </c:pt>
                <c:pt idx="2">
                  <c:v>-44400</c:v>
                </c:pt>
                <c:pt idx="3">
                  <c:v>-73600</c:v>
                </c:pt>
              </c:numCache>
            </c:numRef>
          </c:val>
        </c:ser>
        <c:ser>
          <c:idx val="9"/>
          <c:order val="9"/>
          <c:tx>
            <c:strRef>
              <c:f>'WAGR Recycling Variations'!$A$12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Variations'!$B$2:$E$2</c:f>
              <c:strCache>
                <c:ptCount val="4"/>
                <c:pt idx="0">
                  <c:v>Pig Iron </c:v>
                </c:pt>
                <c:pt idx="1">
                  <c:v>Unalloyed Steel</c:v>
                </c:pt>
                <c:pt idx="2">
                  <c:v>Electric un- and low-alloyed steel</c:v>
                </c:pt>
                <c:pt idx="3">
                  <c:v>Unalloyed Steel with Electric Steel Off-set</c:v>
                </c:pt>
              </c:strCache>
            </c:strRef>
          </c:cat>
          <c:val>
            <c:numRef>
              <c:f>'WAGR Recycling Variations'!$B$12:$E$12</c:f>
              <c:numCache>
                <c:formatCode>0.00E+00</c:formatCode>
                <c:ptCount val="4"/>
                <c:pt idx="0">
                  <c:v>5240</c:v>
                </c:pt>
                <c:pt idx="1">
                  <c:v>5240</c:v>
                </c:pt>
                <c:pt idx="2">
                  <c:v>5240</c:v>
                </c:pt>
                <c:pt idx="3">
                  <c:v>5240</c:v>
                </c:pt>
              </c:numCache>
            </c:numRef>
          </c:val>
        </c:ser>
        <c:ser>
          <c:idx val="10"/>
          <c:order val="10"/>
          <c:tx>
            <c:strRef>
              <c:f>'WAGR Recycling Variations'!$A$13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Variations'!$B$2:$E$2</c:f>
              <c:strCache>
                <c:ptCount val="4"/>
                <c:pt idx="0">
                  <c:v>Pig Iron </c:v>
                </c:pt>
                <c:pt idx="1">
                  <c:v>Unalloyed Steel</c:v>
                </c:pt>
                <c:pt idx="2">
                  <c:v>Electric un- and low-alloyed steel</c:v>
                </c:pt>
                <c:pt idx="3">
                  <c:v>Unalloyed Steel with Electric Steel Off-set</c:v>
                </c:pt>
              </c:strCache>
            </c:strRef>
          </c:cat>
          <c:val>
            <c:numRef>
              <c:f>'WAGR Recycling Variations'!$B$13:$E$13</c:f>
              <c:numCache>
                <c:formatCode>0.00E+00</c:formatCode>
                <c:ptCount val="4"/>
                <c:pt idx="0">
                  <c:v>265.10000000000002</c:v>
                </c:pt>
                <c:pt idx="1">
                  <c:v>265.10000000000002</c:v>
                </c:pt>
                <c:pt idx="2">
                  <c:v>265.10000000000002</c:v>
                </c:pt>
                <c:pt idx="3">
                  <c:v>265.10000000000002</c:v>
                </c:pt>
              </c:numCache>
            </c:numRef>
          </c:val>
        </c:ser>
        <c:ser>
          <c:idx val="11"/>
          <c:order val="11"/>
          <c:tx>
            <c:strRef>
              <c:f>'WAGR Recycling Variations'!$A$14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Variations'!$B$2:$E$2</c:f>
              <c:strCache>
                <c:ptCount val="4"/>
                <c:pt idx="0">
                  <c:v>Pig Iron </c:v>
                </c:pt>
                <c:pt idx="1">
                  <c:v>Unalloyed Steel</c:v>
                </c:pt>
                <c:pt idx="2">
                  <c:v>Electric un- and low-alloyed steel</c:v>
                </c:pt>
                <c:pt idx="3">
                  <c:v>Unalloyed Steel with Electric Steel Off-set</c:v>
                </c:pt>
              </c:strCache>
            </c:strRef>
          </c:cat>
          <c:val>
            <c:numRef>
              <c:f>'WAGR Recycling Variations'!$B$14:$E$14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overlap val="100"/>
        <c:axId val="47989120"/>
        <c:axId val="47991040"/>
      </c:barChart>
      <c:catAx>
        <c:axId val="479891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Avoided Metals</a:t>
                </a:r>
              </a:p>
            </c:rich>
          </c:tx>
          <c:layout>
            <c:manualLayout>
              <c:xMode val="edge"/>
              <c:yMode val="edge"/>
              <c:x val="0.49714268670961587"/>
              <c:y val="0.89887469721811752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991040"/>
        <c:crosses val="autoZero"/>
        <c:auto val="1"/>
        <c:lblAlgn val="ctr"/>
        <c:lblOffset val="100"/>
        <c:tickLblSkip val="1"/>
        <c:tickMarkSkip val="1"/>
      </c:catAx>
      <c:valAx>
        <c:axId val="479910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(Pt0</a:t>
                </a:r>
              </a:p>
            </c:rich>
          </c:tx>
          <c:layout>
            <c:manualLayout>
              <c:xMode val="edge"/>
              <c:yMode val="edge"/>
              <c:x val="2.4761904761904759E-2"/>
              <c:y val="0.3333327935550473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98912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051966324420345"/>
          <c:y val="3.3333416800422677E-2"/>
          <c:w val="0.63636414078681514"/>
          <c:h val="9.487203243197223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"/>
          <c:y val="0.14957280562734301"/>
          <c:w val="0.88113207547169792"/>
          <c:h val="0.70085543208240719"/>
        </c:manualLayout>
      </c:layout>
      <c:barChart>
        <c:barDir val="col"/>
        <c:grouping val="clustered"/>
        <c:ser>
          <c:idx val="0"/>
          <c:order val="0"/>
          <c:tx>
            <c:strRef>
              <c:f>'WAGR Recycling Variations'!$B$18</c:f>
              <c:strCache>
                <c:ptCount val="1"/>
                <c:pt idx="0">
                  <c:v>Pig Iron 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Variations'!$A$19:$A$29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Variations'!$B$19:$B$29</c:f>
              <c:numCache>
                <c:formatCode>0.00</c:formatCode>
                <c:ptCount val="11"/>
                <c:pt idx="0">
                  <c:v>-0.78600000000000003</c:v>
                </c:pt>
                <c:pt idx="1">
                  <c:v>-2.81E-2</c:v>
                </c:pt>
                <c:pt idx="2">
                  <c:v>-175</c:v>
                </c:pt>
                <c:pt idx="3">
                  <c:v>-20.5</c:v>
                </c:pt>
                <c:pt idx="4">
                  <c:v>0.248</c:v>
                </c:pt>
                <c:pt idx="5">
                  <c:v>3.77E-4</c:v>
                </c:pt>
                <c:pt idx="6">
                  <c:v>-0.38700000000000001</c:v>
                </c:pt>
                <c:pt idx="7">
                  <c:v>-1.73</c:v>
                </c:pt>
                <c:pt idx="8">
                  <c:v>-1.1499999999999999</c:v>
                </c:pt>
                <c:pt idx="9">
                  <c:v>-2.67</c:v>
                </c:pt>
                <c:pt idx="10">
                  <c:v>-20.3</c:v>
                </c:pt>
              </c:numCache>
            </c:numRef>
          </c:val>
        </c:ser>
        <c:ser>
          <c:idx val="1"/>
          <c:order val="1"/>
          <c:tx>
            <c:strRef>
              <c:f>'WAGR Recycling Variations'!$C$18</c:f>
              <c:strCache>
                <c:ptCount val="1"/>
                <c:pt idx="0">
                  <c:v>Unalloyed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Variations'!$A$19:$A$29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Variations'!$C$19:$C$29</c:f>
              <c:numCache>
                <c:formatCode>0.00</c:formatCode>
                <c:ptCount val="11"/>
                <c:pt idx="0">
                  <c:v>-4.3099999999999996</c:v>
                </c:pt>
                <c:pt idx="1">
                  <c:v>-2.9700000000000001E-2</c:v>
                </c:pt>
                <c:pt idx="2">
                  <c:v>-169</c:v>
                </c:pt>
                <c:pt idx="3">
                  <c:v>-22.2</c:v>
                </c:pt>
                <c:pt idx="4">
                  <c:v>0.222</c:v>
                </c:pt>
                <c:pt idx="5">
                  <c:v>2.9700000000000001E-4</c:v>
                </c:pt>
                <c:pt idx="6">
                  <c:v>-1.74</c:v>
                </c:pt>
                <c:pt idx="7">
                  <c:v>-1.77</c:v>
                </c:pt>
                <c:pt idx="8">
                  <c:v>-1.3</c:v>
                </c:pt>
                <c:pt idx="9">
                  <c:v>-26.2</c:v>
                </c:pt>
                <c:pt idx="10">
                  <c:v>-29.1</c:v>
                </c:pt>
              </c:numCache>
            </c:numRef>
          </c:val>
        </c:ser>
        <c:ser>
          <c:idx val="2"/>
          <c:order val="2"/>
          <c:tx>
            <c:strRef>
              <c:f>'WAGR Recycling Variations'!$D$18</c:f>
              <c:strCache>
                <c:ptCount val="1"/>
                <c:pt idx="0">
                  <c:v>Electric un- and low-alloyed steel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Variations'!$A$19:$A$29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Variations'!$D$19:$D$29</c:f>
              <c:numCache>
                <c:formatCode>0.00</c:formatCode>
                <c:ptCount val="11"/>
                <c:pt idx="0">
                  <c:v>-23.6</c:v>
                </c:pt>
                <c:pt idx="1">
                  <c:v>-8.7299999999999999E-3</c:v>
                </c:pt>
                <c:pt idx="2">
                  <c:v>-1.72</c:v>
                </c:pt>
                <c:pt idx="3">
                  <c:v>-1.23</c:v>
                </c:pt>
                <c:pt idx="4">
                  <c:v>0.16900000000000001</c:v>
                </c:pt>
                <c:pt idx="5">
                  <c:v>-3.2600000000000001E-4</c:v>
                </c:pt>
                <c:pt idx="6">
                  <c:v>-9.9499999999999993</c:v>
                </c:pt>
                <c:pt idx="7">
                  <c:v>0.13400000000000001</c:v>
                </c:pt>
                <c:pt idx="8">
                  <c:v>-6.6600000000000006E-2</c:v>
                </c:pt>
                <c:pt idx="9">
                  <c:v>2.91</c:v>
                </c:pt>
                <c:pt idx="10">
                  <c:v>-18.5</c:v>
                </c:pt>
              </c:numCache>
            </c:numRef>
          </c:val>
        </c:ser>
        <c:ser>
          <c:idx val="3"/>
          <c:order val="3"/>
          <c:tx>
            <c:strRef>
              <c:f>'WAGR Recycling Variations'!$E$18</c:f>
              <c:strCache>
                <c:ptCount val="1"/>
                <c:pt idx="0">
                  <c:v>Unalloyed Steel with Electric Steel Off-set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Variations'!$A$19:$A$29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Variations'!$E$19:$E$29</c:f>
              <c:numCache>
                <c:formatCode>0.00</c:formatCode>
                <c:ptCount val="11"/>
                <c:pt idx="0">
                  <c:v>21.8</c:v>
                </c:pt>
                <c:pt idx="1">
                  <c:v>2.7599999999999999E-3</c:v>
                </c:pt>
                <c:pt idx="2">
                  <c:v>-1.32</c:v>
                </c:pt>
                <c:pt idx="3">
                  <c:v>-14.9</c:v>
                </c:pt>
                <c:pt idx="4">
                  <c:v>0.35</c:v>
                </c:pt>
                <c:pt idx="5">
                  <c:v>2.7000000000000001E-3</c:v>
                </c:pt>
                <c:pt idx="6">
                  <c:v>10.1</c:v>
                </c:pt>
                <c:pt idx="7">
                  <c:v>-0.72299999999999998</c:v>
                </c:pt>
                <c:pt idx="8">
                  <c:v>-0.308</c:v>
                </c:pt>
                <c:pt idx="9">
                  <c:v>-25</c:v>
                </c:pt>
                <c:pt idx="10">
                  <c:v>22.5</c:v>
                </c:pt>
              </c:numCache>
            </c:numRef>
          </c:val>
        </c:ser>
        <c:axId val="48038272"/>
        <c:axId val="48040192"/>
      </c:barChart>
      <c:catAx>
        <c:axId val="480382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847325902444013"/>
              <c:y val="0.8888899558286921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040192"/>
        <c:crosses val="autoZero"/>
        <c:auto val="1"/>
        <c:lblAlgn val="ctr"/>
        <c:lblOffset val="100"/>
        <c:tickLblSkip val="1"/>
        <c:tickMarkSkip val="1"/>
      </c:catAx>
      <c:valAx>
        <c:axId val="480401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4809114769744692E-2"/>
              <c:y val="0.35470104346712761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03827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707792207792205"/>
          <c:y val="2.4390243902439025E-2"/>
          <c:w val="0.46753246753246752"/>
          <c:h val="6.09756097560975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977189091367302"/>
          <c:y val="0.14516150467633401"/>
          <c:w val="0.86121692990307896"/>
          <c:h val="0.71371073132530605"/>
        </c:manualLayout>
      </c:layout>
      <c:barChart>
        <c:barDir val="col"/>
        <c:grouping val="clustered"/>
        <c:ser>
          <c:idx val="0"/>
          <c:order val="0"/>
          <c:tx>
            <c:strRef>
              <c:f>'WAGR Recycling Variations'!$B$31</c:f>
              <c:strCache>
                <c:ptCount val="1"/>
                <c:pt idx="0">
                  <c:v>Pig Iron 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Variations'!$A$32:$A$42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Variations'!$B$32:$B$42</c:f>
              <c:numCache>
                <c:formatCode>General</c:formatCode>
                <c:ptCount val="11"/>
                <c:pt idx="0" formatCode="0.00E+00">
                  <c:v>-314</c:v>
                </c:pt>
                <c:pt idx="1">
                  <c:v>-11.2</c:v>
                </c:pt>
                <c:pt idx="2" formatCode="0.00E+00">
                  <c:v>-70100</c:v>
                </c:pt>
                <c:pt idx="3" formatCode="0.00E+00">
                  <c:v>-8210</c:v>
                </c:pt>
                <c:pt idx="4" formatCode="0.00E+00">
                  <c:v>99</c:v>
                </c:pt>
                <c:pt idx="5">
                  <c:v>0.151</c:v>
                </c:pt>
                <c:pt idx="6" formatCode="0.00E+00">
                  <c:v>-155</c:v>
                </c:pt>
                <c:pt idx="7" formatCode="0.00E+00">
                  <c:v>-691</c:v>
                </c:pt>
                <c:pt idx="8" formatCode="0.00E+00">
                  <c:v>-459</c:v>
                </c:pt>
                <c:pt idx="9" formatCode="0.00E+00">
                  <c:v>-533</c:v>
                </c:pt>
                <c:pt idx="10" formatCode="0.00E+00">
                  <c:v>-4060</c:v>
                </c:pt>
              </c:numCache>
            </c:numRef>
          </c:val>
        </c:ser>
        <c:ser>
          <c:idx val="1"/>
          <c:order val="1"/>
          <c:tx>
            <c:strRef>
              <c:f>'WAGR Recycling Variations'!$C$31</c:f>
              <c:strCache>
                <c:ptCount val="1"/>
                <c:pt idx="0">
                  <c:v>Unalloyed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Variations'!$A$32:$A$42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Variations'!$C$32:$C$42</c:f>
              <c:numCache>
                <c:formatCode>General</c:formatCode>
                <c:ptCount val="11"/>
                <c:pt idx="0" formatCode="0.00E+00">
                  <c:v>-1730</c:v>
                </c:pt>
                <c:pt idx="1">
                  <c:v>-11.9</c:v>
                </c:pt>
                <c:pt idx="2" formatCode="0.00E+00">
                  <c:v>-67500</c:v>
                </c:pt>
                <c:pt idx="3" formatCode="0.00E+00">
                  <c:v>-8890</c:v>
                </c:pt>
                <c:pt idx="4" formatCode="0.00E+00">
                  <c:v>88.7</c:v>
                </c:pt>
                <c:pt idx="5">
                  <c:v>-0.11899999999999999</c:v>
                </c:pt>
                <c:pt idx="6" formatCode="0.00E+00">
                  <c:v>-694</c:v>
                </c:pt>
                <c:pt idx="7" formatCode="0.00E+00">
                  <c:v>-709</c:v>
                </c:pt>
                <c:pt idx="8" formatCode="0.00E+00">
                  <c:v>-529</c:v>
                </c:pt>
                <c:pt idx="9" formatCode="0.00E+00">
                  <c:v>-5240</c:v>
                </c:pt>
                <c:pt idx="10" formatCode="0.00E+00">
                  <c:v>-5830</c:v>
                </c:pt>
              </c:numCache>
            </c:numRef>
          </c:val>
        </c:ser>
        <c:ser>
          <c:idx val="2"/>
          <c:order val="2"/>
          <c:tx>
            <c:strRef>
              <c:f>'WAGR Recycling Variations'!$D$31</c:f>
              <c:strCache>
                <c:ptCount val="1"/>
                <c:pt idx="0">
                  <c:v>Electric un- and low-alloyed steel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Variations'!$A$32:$A$42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Variations'!$D$32:$D$42</c:f>
              <c:numCache>
                <c:formatCode>General</c:formatCode>
                <c:ptCount val="11"/>
                <c:pt idx="0" formatCode="0.00E+00">
                  <c:v>-9440</c:v>
                </c:pt>
                <c:pt idx="1">
                  <c:v>-3.49</c:v>
                </c:pt>
                <c:pt idx="2" formatCode="0.00E+00">
                  <c:v>-687</c:v>
                </c:pt>
                <c:pt idx="3" formatCode="0.00E+00">
                  <c:v>-490</c:v>
                </c:pt>
                <c:pt idx="4" formatCode="0.00E+00">
                  <c:v>67.7</c:v>
                </c:pt>
                <c:pt idx="5">
                  <c:v>-0.13</c:v>
                </c:pt>
                <c:pt idx="6" formatCode="0.00E+00">
                  <c:v>-3980</c:v>
                </c:pt>
                <c:pt idx="7" formatCode="0.00E+00">
                  <c:v>53.5</c:v>
                </c:pt>
                <c:pt idx="8" formatCode="0.00E+00">
                  <c:v>-26.6</c:v>
                </c:pt>
                <c:pt idx="9" formatCode="0.00E+00">
                  <c:v>583</c:v>
                </c:pt>
                <c:pt idx="10" formatCode="0.00E+00">
                  <c:v>-3700</c:v>
                </c:pt>
              </c:numCache>
            </c:numRef>
          </c:val>
        </c:ser>
        <c:ser>
          <c:idx val="3"/>
          <c:order val="3"/>
          <c:tx>
            <c:strRef>
              <c:f>'WAGR Recycling Variations'!$E$31</c:f>
              <c:strCache>
                <c:ptCount val="1"/>
                <c:pt idx="0">
                  <c:v>Unalloyed Steel with Electric Steel Off-set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Variations'!$A$32:$A$42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Variations'!$E$32:$E$42</c:f>
              <c:numCache>
                <c:formatCode>General</c:formatCode>
                <c:ptCount val="11"/>
                <c:pt idx="0" formatCode="0.00E+00">
                  <c:v>8700</c:v>
                </c:pt>
                <c:pt idx="1">
                  <c:v>1.1000000000000001</c:v>
                </c:pt>
                <c:pt idx="2" formatCode="0.00E+00">
                  <c:v>-52600</c:v>
                </c:pt>
                <c:pt idx="3" formatCode="0.00E+00">
                  <c:v>-5970</c:v>
                </c:pt>
                <c:pt idx="4" formatCode="0.00E+00">
                  <c:v>140</c:v>
                </c:pt>
                <c:pt idx="5">
                  <c:v>1.08</c:v>
                </c:pt>
                <c:pt idx="6" formatCode="0.00E+00">
                  <c:v>4060</c:v>
                </c:pt>
                <c:pt idx="7" formatCode="0.00E+00">
                  <c:v>-289</c:v>
                </c:pt>
                <c:pt idx="8" formatCode="0.00E+00">
                  <c:v>-123</c:v>
                </c:pt>
                <c:pt idx="9" formatCode="0.00E+00">
                  <c:v>-5000</c:v>
                </c:pt>
                <c:pt idx="10" formatCode="0.00E+00">
                  <c:v>4480</c:v>
                </c:pt>
              </c:numCache>
            </c:numRef>
          </c:val>
        </c:ser>
        <c:axId val="48099712"/>
        <c:axId val="48101632"/>
      </c:barChart>
      <c:catAx>
        <c:axId val="480997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423027522541679"/>
              <c:y val="0.8955806524184477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101632"/>
        <c:crosses val="autoZero"/>
        <c:auto val="1"/>
        <c:lblAlgn val="ctr"/>
        <c:lblOffset val="100"/>
        <c:tickLblSkip val="1"/>
        <c:tickMarkSkip val="1"/>
      </c:catAx>
      <c:valAx>
        <c:axId val="481016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5000107392467923E-2"/>
              <c:y val="0.29718785151856014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09971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60657627319438"/>
          <c:y val="2.2922668173951489E-2"/>
          <c:w val="0.6311480461930441"/>
          <c:h val="6.017200395662265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819879308500801"/>
          <c:y val="0.23076912758220006"/>
          <c:w val="0.86303880665243815"/>
          <c:h val="0.63736235236988414"/>
        </c:manualLayout>
      </c:layout>
      <c:barChart>
        <c:barDir val="col"/>
        <c:grouping val="stacked"/>
        <c:ser>
          <c:idx val="0"/>
          <c:order val="0"/>
          <c:tx>
            <c:strRef>
              <c:f>'WAGR Recycling Variations'!$A$47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Variations'!$B$46:$F$46</c:f>
              <c:strCache>
                <c:ptCount val="5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 five</c:v>
                </c:pt>
                <c:pt idx="4">
                  <c:v>Seventy</c:v>
                </c:pt>
              </c:strCache>
            </c:strRef>
          </c:cat>
          <c:val>
            <c:numRef>
              <c:f>'WAGR Recycling Variations'!$B$47:$F$47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Recycling Variations'!$A$48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Variations'!$B$46:$F$46</c:f>
              <c:strCache>
                <c:ptCount val="5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 five</c:v>
                </c:pt>
                <c:pt idx="4">
                  <c:v>Seventy</c:v>
                </c:pt>
              </c:strCache>
            </c:strRef>
          </c:cat>
          <c:val>
            <c:numRef>
              <c:f>'WAGR Recycling Variations'!$B$48:$F$48</c:f>
              <c:numCache>
                <c:formatCode>0.00E+00</c:formatCode>
                <c:ptCount val="5"/>
                <c:pt idx="0">
                  <c:v>1000</c:v>
                </c:pt>
                <c:pt idx="1">
                  <c:v>2010</c:v>
                </c:pt>
                <c:pt idx="2">
                  <c:v>4020</c:v>
                </c:pt>
                <c:pt idx="3">
                  <c:v>5020</c:v>
                </c:pt>
                <c:pt idx="4">
                  <c:v>6030</c:v>
                </c:pt>
              </c:numCache>
            </c:numRef>
          </c:val>
        </c:ser>
        <c:ser>
          <c:idx val="2"/>
          <c:order val="2"/>
          <c:tx>
            <c:strRef>
              <c:f>'WAGR Recycling Variations'!$A$49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Variations'!$B$46:$F$46</c:f>
              <c:strCache>
                <c:ptCount val="5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 five</c:v>
                </c:pt>
                <c:pt idx="4">
                  <c:v>Seventy</c:v>
                </c:pt>
              </c:strCache>
            </c:strRef>
          </c:cat>
          <c:val>
            <c:numRef>
              <c:f>'WAGR Recycling Variations'!$B$49:$F$49</c:f>
              <c:numCache>
                <c:formatCode>0.00E+00</c:formatCode>
                <c:ptCount val="5"/>
                <c:pt idx="0">
                  <c:v>100</c:v>
                </c:pt>
                <c:pt idx="1">
                  <c:v>200</c:v>
                </c:pt>
                <c:pt idx="2">
                  <c:v>401</c:v>
                </c:pt>
                <c:pt idx="3">
                  <c:v>502</c:v>
                </c:pt>
                <c:pt idx="4">
                  <c:v>603</c:v>
                </c:pt>
              </c:numCache>
            </c:numRef>
          </c:val>
        </c:ser>
        <c:ser>
          <c:idx val="3"/>
          <c:order val="3"/>
          <c:tx>
            <c:strRef>
              <c:f>'WAGR Recycling Variations'!$A$50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Variations'!$B$46:$F$46</c:f>
              <c:strCache>
                <c:ptCount val="5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 five</c:v>
                </c:pt>
                <c:pt idx="4">
                  <c:v>Seventy</c:v>
                </c:pt>
              </c:strCache>
            </c:strRef>
          </c:cat>
          <c:val>
            <c:numRef>
              <c:f>'WAGR Recycling Variations'!$B$50:$F$50</c:f>
              <c:numCache>
                <c:formatCode>0.00E+00</c:formatCode>
                <c:ptCount val="5"/>
                <c:pt idx="0">
                  <c:v>1506</c:v>
                </c:pt>
                <c:pt idx="1">
                  <c:v>1813</c:v>
                </c:pt>
                <c:pt idx="2">
                  <c:v>2425</c:v>
                </c:pt>
                <c:pt idx="3">
                  <c:v>2732</c:v>
                </c:pt>
                <c:pt idx="4">
                  <c:v>3037</c:v>
                </c:pt>
              </c:numCache>
            </c:numRef>
          </c:val>
        </c:ser>
        <c:ser>
          <c:idx val="4"/>
          <c:order val="4"/>
          <c:tx>
            <c:strRef>
              <c:f>'WAGR Recycling Variations'!$A$51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767D7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Variations'!$B$46:$F$46</c:f>
              <c:strCache>
                <c:ptCount val="5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 five</c:v>
                </c:pt>
                <c:pt idx="4">
                  <c:v>Seventy</c:v>
                </c:pt>
              </c:strCache>
            </c:strRef>
          </c:cat>
          <c:val>
            <c:numRef>
              <c:f>'WAGR Recycling Variations'!$B$51:$F$51</c:f>
              <c:numCache>
                <c:formatCode>0.00E+00</c:formatCode>
                <c:ptCount val="5"/>
                <c:pt idx="0">
                  <c:v>4076</c:v>
                </c:pt>
                <c:pt idx="1">
                  <c:v>4241</c:v>
                </c:pt>
                <c:pt idx="2">
                  <c:v>4572</c:v>
                </c:pt>
                <c:pt idx="3">
                  <c:v>4738</c:v>
                </c:pt>
                <c:pt idx="4">
                  <c:v>4904</c:v>
                </c:pt>
              </c:numCache>
            </c:numRef>
          </c:val>
        </c:ser>
        <c:ser>
          <c:idx val="5"/>
          <c:order val="5"/>
          <c:tx>
            <c:strRef>
              <c:f>'WAGR Recycling Variations'!$A$52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Variations'!$B$46:$F$46</c:f>
              <c:strCache>
                <c:ptCount val="5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 five</c:v>
                </c:pt>
                <c:pt idx="4">
                  <c:v>Seventy</c:v>
                </c:pt>
              </c:strCache>
            </c:strRef>
          </c:cat>
          <c:val>
            <c:numRef>
              <c:f>'WAGR Recycling Variations'!$B$52:$F$52</c:f>
              <c:numCache>
                <c:formatCode>0.00E+00</c:formatCode>
                <c:ptCount val="5"/>
                <c:pt idx="0">
                  <c:v>3234</c:v>
                </c:pt>
                <c:pt idx="1">
                  <c:v>3067</c:v>
                </c:pt>
                <c:pt idx="2">
                  <c:v>2723</c:v>
                </c:pt>
                <c:pt idx="3">
                  <c:v>2556</c:v>
                </c:pt>
                <c:pt idx="4">
                  <c:v>2389</c:v>
                </c:pt>
              </c:numCache>
            </c:numRef>
          </c:val>
        </c:ser>
        <c:ser>
          <c:idx val="6"/>
          <c:order val="6"/>
          <c:tx>
            <c:strRef>
              <c:f>'WAGR Recycling Variations'!$A$53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Variations'!$B$46:$F$46</c:f>
              <c:strCache>
                <c:ptCount val="5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 five</c:v>
                </c:pt>
                <c:pt idx="4">
                  <c:v>Seventy</c:v>
                </c:pt>
              </c:strCache>
            </c:strRef>
          </c:cat>
          <c:val>
            <c:numRef>
              <c:f>'WAGR Recycling Variations'!$B$53:$F$53</c:f>
              <c:numCache>
                <c:formatCode>0.00E+00</c:formatCode>
                <c:ptCount val="5"/>
                <c:pt idx="0">
                  <c:v>4550</c:v>
                </c:pt>
                <c:pt idx="1">
                  <c:v>4310</c:v>
                </c:pt>
                <c:pt idx="2">
                  <c:v>3830</c:v>
                </c:pt>
                <c:pt idx="3">
                  <c:v>3590</c:v>
                </c:pt>
                <c:pt idx="4">
                  <c:v>3350</c:v>
                </c:pt>
              </c:numCache>
            </c:numRef>
          </c:val>
        </c:ser>
        <c:ser>
          <c:idx val="7"/>
          <c:order val="7"/>
          <c:tx>
            <c:strRef>
              <c:f>'WAGR Recycling Variations'!$A$54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Variations'!$B$46:$F$46</c:f>
              <c:strCache>
                <c:ptCount val="5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 five</c:v>
                </c:pt>
                <c:pt idx="4">
                  <c:v>Seventy</c:v>
                </c:pt>
              </c:strCache>
            </c:strRef>
          </c:cat>
          <c:val>
            <c:numRef>
              <c:f>'WAGR Recycling Variations'!$B$54:$F$54</c:f>
              <c:numCache>
                <c:formatCode>0.00E+00</c:formatCode>
                <c:ptCount val="5"/>
                <c:pt idx="0">
                  <c:v>4169</c:v>
                </c:pt>
                <c:pt idx="1">
                  <c:v>7968</c:v>
                </c:pt>
                <c:pt idx="2">
                  <c:v>15570</c:v>
                </c:pt>
                <c:pt idx="3">
                  <c:v>19490</c:v>
                </c:pt>
                <c:pt idx="4">
                  <c:v>23190</c:v>
                </c:pt>
              </c:numCache>
            </c:numRef>
          </c:val>
        </c:ser>
        <c:ser>
          <c:idx val="8"/>
          <c:order val="8"/>
          <c:tx>
            <c:strRef>
              <c:f>'WAGR Recycling Variations'!$A$55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Variations'!$B$46:$F$46</c:f>
              <c:strCache>
                <c:ptCount val="5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 five</c:v>
                </c:pt>
                <c:pt idx="4">
                  <c:v>Seventy</c:v>
                </c:pt>
              </c:strCache>
            </c:strRef>
          </c:cat>
          <c:val>
            <c:numRef>
              <c:f>'WAGR Recycling Variations'!$B$55:$F$55</c:f>
              <c:numCache>
                <c:formatCode>0.00E+00</c:formatCode>
                <c:ptCount val="5"/>
                <c:pt idx="0">
                  <c:v>-73600</c:v>
                </c:pt>
                <c:pt idx="1">
                  <c:v>-69900</c:v>
                </c:pt>
                <c:pt idx="2">
                  <c:v>-61800</c:v>
                </c:pt>
                <c:pt idx="3">
                  <c:v>-58000</c:v>
                </c:pt>
                <c:pt idx="4">
                  <c:v>-54100</c:v>
                </c:pt>
              </c:numCache>
            </c:numRef>
          </c:val>
        </c:ser>
        <c:ser>
          <c:idx val="9"/>
          <c:order val="9"/>
          <c:tx>
            <c:strRef>
              <c:f>'WAGR Recycling Variations'!$A$56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Variations'!$B$46:$F$46</c:f>
              <c:strCache>
                <c:ptCount val="5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 five</c:v>
                </c:pt>
                <c:pt idx="4">
                  <c:v>Seventy</c:v>
                </c:pt>
              </c:strCache>
            </c:strRef>
          </c:cat>
          <c:val>
            <c:numRef>
              <c:f>'WAGR Recycling Variations'!$B$56:$F$56</c:f>
              <c:numCache>
                <c:formatCode>0.00E+00</c:formatCode>
                <c:ptCount val="5"/>
                <c:pt idx="0">
                  <c:v>5240</c:v>
                </c:pt>
                <c:pt idx="1">
                  <c:v>10500</c:v>
                </c:pt>
                <c:pt idx="2">
                  <c:v>21000</c:v>
                </c:pt>
                <c:pt idx="3">
                  <c:v>26300</c:v>
                </c:pt>
                <c:pt idx="4">
                  <c:v>31500</c:v>
                </c:pt>
              </c:numCache>
            </c:numRef>
          </c:val>
        </c:ser>
        <c:ser>
          <c:idx val="10"/>
          <c:order val="10"/>
          <c:tx>
            <c:strRef>
              <c:f>'WAGR Recycling Variations'!$A$57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Variations'!$B$46:$F$46</c:f>
              <c:strCache>
                <c:ptCount val="5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 five</c:v>
                </c:pt>
                <c:pt idx="4">
                  <c:v>Seventy</c:v>
                </c:pt>
              </c:strCache>
            </c:strRef>
          </c:cat>
          <c:val>
            <c:numRef>
              <c:f>'WAGR Recycling Variations'!$B$57:$F$57</c:f>
              <c:numCache>
                <c:formatCode>0.00E+00</c:formatCode>
                <c:ptCount val="5"/>
                <c:pt idx="0">
                  <c:v>265.10000000000002</c:v>
                </c:pt>
                <c:pt idx="1">
                  <c:v>265.10000000000002</c:v>
                </c:pt>
                <c:pt idx="2">
                  <c:v>1060</c:v>
                </c:pt>
                <c:pt idx="3">
                  <c:v>1320</c:v>
                </c:pt>
                <c:pt idx="4">
                  <c:v>1591</c:v>
                </c:pt>
              </c:numCache>
            </c:numRef>
          </c:val>
        </c:ser>
        <c:ser>
          <c:idx val="11"/>
          <c:order val="11"/>
          <c:tx>
            <c:strRef>
              <c:f>'WAGR Recycling Variations'!$A$58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Variations'!$B$46:$F$46</c:f>
              <c:strCache>
                <c:ptCount val="5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 five</c:v>
                </c:pt>
                <c:pt idx="4">
                  <c:v>Seventy</c:v>
                </c:pt>
              </c:strCache>
            </c:strRef>
          </c:cat>
          <c:val>
            <c:numRef>
              <c:f>'WAGR Recycling Variations'!$B$58:$F$58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overlap val="100"/>
        <c:axId val="48437888"/>
        <c:axId val="48472832"/>
      </c:barChart>
      <c:catAx>
        <c:axId val="484378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Recycling</a:t>
                </a:r>
              </a:p>
            </c:rich>
          </c:tx>
          <c:layout>
            <c:manualLayout>
              <c:xMode val="edge"/>
              <c:yMode val="edge"/>
              <c:x val="0.47528532104218679"/>
              <c:y val="0.89473695633007122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472832"/>
        <c:crosses val="autoZero"/>
        <c:auto val="1"/>
        <c:lblAlgn val="ctr"/>
        <c:lblOffset val="100"/>
        <c:tickLblSkip val="1"/>
        <c:tickMarkSkip val="1"/>
      </c:catAx>
      <c:valAx>
        <c:axId val="484728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4714935023365983E-2"/>
              <c:y val="0.34008124953373076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43788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463448716096156"/>
          <c:y val="2.3316062176165803E-2"/>
          <c:w val="0.65040753685139874"/>
          <c:h val="0.1450777202072538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93485342019544E-2"/>
          <c:y val="2.0000065104378593E-2"/>
          <c:w val="0.87947882736156346"/>
          <c:h val="0.45000146484851838"/>
        </c:manualLayout>
      </c:layout>
      <c:barChart>
        <c:barDir val="col"/>
        <c:grouping val="clustered"/>
        <c:ser>
          <c:idx val="0"/>
          <c:order val="0"/>
          <c:tx>
            <c:strRef>
              <c:f>'WAGR Recycling Variations'!$B$62</c:f>
              <c:strCache>
                <c:ptCount val="1"/>
                <c:pt idx="0">
                  <c:v>Ninety five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Variations'!$A$63:$A$73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Variations'!$B$63:$B$73</c:f>
              <c:numCache>
                <c:formatCode>0.00</c:formatCode>
                <c:ptCount val="11"/>
                <c:pt idx="0">
                  <c:v>21.8</c:v>
                </c:pt>
                <c:pt idx="1">
                  <c:v>-6.1700000000000004E-4</c:v>
                </c:pt>
                <c:pt idx="2">
                  <c:v>-133</c:v>
                </c:pt>
                <c:pt idx="3">
                  <c:v>-15.3</c:v>
                </c:pt>
                <c:pt idx="4">
                  <c:v>0.35199999999999998</c:v>
                </c:pt>
                <c:pt idx="5">
                  <c:v>2.2000000000000001E-3</c:v>
                </c:pt>
                <c:pt idx="6">
                  <c:v>10.199999999999999</c:v>
                </c:pt>
                <c:pt idx="7">
                  <c:v>-0.85399999999999998</c:v>
                </c:pt>
                <c:pt idx="8">
                  <c:v>-0.34399999999999997</c:v>
                </c:pt>
                <c:pt idx="9">
                  <c:v>-24.9</c:v>
                </c:pt>
                <c:pt idx="10">
                  <c:v>17.100000000000001</c:v>
                </c:pt>
              </c:numCache>
            </c:numRef>
          </c:val>
        </c:ser>
        <c:ser>
          <c:idx val="1"/>
          <c:order val="1"/>
          <c:tx>
            <c:strRef>
              <c:f>'WAGR Recycling Variations'!$C$62</c:f>
              <c:strCache>
                <c:ptCount val="1"/>
                <c:pt idx="0">
                  <c:v>Ninety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Variations'!$A$63:$A$73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Variations'!$C$63:$C$73</c:f>
              <c:numCache>
                <c:formatCode>0.00</c:formatCode>
                <c:ptCount val="11"/>
                <c:pt idx="0">
                  <c:v>21.9</c:v>
                </c:pt>
                <c:pt idx="1">
                  <c:v>7.6800000000000002E-3</c:v>
                </c:pt>
                <c:pt idx="2">
                  <c:v>-109</c:v>
                </c:pt>
                <c:pt idx="3">
                  <c:v>-12</c:v>
                </c:pt>
                <c:pt idx="4">
                  <c:v>0.36599999999999999</c:v>
                </c:pt>
                <c:pt idx="5">
                  <c:v>2.66E-3</c:v>
                </c:pt>
                <c:pt idx="6">
                  <c:v>10.4</c:v>
                </c:pt>
                <c:pt idx="7">
                  <c:v>-0.436</c:v>
                </c:pt>
                <c:pt idx="8">
                  <c:v>0.54900000000000004</c:v>
                </c:pt>
                <c:pt idx="9">
                  <c:v>-21</c:v>
                </c:pt>
                <c:pt idx="10">
                  <c:v>24.6</c:v>
                </c:pt>
              </c:numCache>
            </c:numRef>
          </c:val>
        </c:ser>
        <c:ser>
          <c:idx val="2"/>
          <c:order val="2"/>
          <c:tx>
            <c:strRef>
              <c:f>'WAGR Recycling Variations'!$D$62</c:f>
              <c:strCache>
                <c:ptCount val="1"/>
                <c:pt idx="0">
                  <c:v>Eighty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Variations'!$A$63:$A$73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Variations'!$D$63:$D$73</c:f>
              <c:numCache>
                <c:formatCode>0.00</c:formatCode>
                <c:ptCount val="11"/>
                <c:pt idx="0">
                  <c:v>22.2</c:v>
                </c:pt>
                <c:pt idx="1">
                  <c:v>2.6100000000000002E-2</c:v>
                </c:pt>
                <c:pt idx="2">
                  <c:v>-60.6</c:v>
                </c:pt>
                <c:pt idx="3">
                  <c:v>-4.9000000000000004</c:v>
                </c:pt>
                <c:pt idx="4">
                  <c:v>0.40300000000000002</c:v>
                </c:pt>
                <c:pt idx="5">
                  <c:v>3.7699999999999999E-3</c:v>
                </c:pt>
                <c:pt idx="6">
                  <c:v>11.1</c:v>
                </c:pt>
                <c:pt idx="7">
                  <c:v>0.44500000000000001</c:v>
                </c:pt>
                <c:pt idx="8">
                  <c:v>0.93</c:v>
                </c:pt>
                <c:pt idx="9">
                  <c:v>-12.8</c:v>
                </c:pt>
                <c:pt idx="10">
                  <c:v>42.6</c:v>
                </c:pt>
              </c:numCache>
            </c:numRef>
          </c:val>
        </c:ser>
        <c:ser>
          <c:idx val="3"/>
          <c:order val="3"/>
          <c:tx>
            <c:strRef>
              <c:f>'WAGR Recycling Variations'!$E$62</c:f>
              <c:strCache>
                <c:ptCount val="1"/>
                <c:pt idx="0">
                  <c:v>Seventy five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Variations'!$A$63:$A$73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Variations'!$E$63:$E$73</c:f>
              <c:numCache>
                <c:formatCode>0.00</c:formatCode>
                <c:ptCount val="11"/>
                <c:pt idx="0">
                  <c:v>22.4</c:v>
                </c:pt>
                <c:pt idx="1">
                  <c:v>3.5299999999999998E-2</c:v>
                </c:pt>
                <c:pt idx="2">
                  <c:v>-36.200000000000003</c:v>
                </c:pt>
                <c:pt idx="3">
                  <c:v>-1.35</c:v>
                </c:pt>
                <c:pt idx="4">
                  <c:v>0.42099999999999999</c:v>
                </c:pt>
                <c:pt idx="5">
                  <c:v>4.3299999999999996E-3</c:v>
                </c:pt>
                <c:pt idx="6">
                  <c:v>11.5</c:v>
                </c:pt>
                <c:pt idx="7">
                  <c:v>0.88600000000000001</c:v>
                </c:pt>
                <c:pt idx="8">
                  <c:v>1.37</c:v>
                </c:pt>
                <c:pt idx="9">
                  <c:v>-8.64</c:v>
                </c:pt>
                <c:pt idx="10">
                  <c:v>51.7</c:v>
                </c:pt>
              </c:numCache>
            </c:numRef>
          </c:val>
        </c:ser>
        <c:ser>
          <c:idx val="4"/>
          <c:order val="4"/>
          <c:tx>
            <c:strRef>
              <c:f>'WAGR Recycling Variations'!$F$62</c:f>
              <c:strCache>
                <c:ptCount val="1"/>
                <c:pt idx="0">
                  <c:v>Seventy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Variations'!$A$63:$A$73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Variations'!$F$63:$F$73</c:f>
              <c:numCache>
                <c:formatCode>0.00</c:formatCode>
                <c:ptCount val="11"/>
                <c:pt idx="0">
                  <c:v>22.5</c:v>
                </c:pt>
                <c:pt idx="1">
                  <c:v>4.4400000000000002E-2</c:v>
                </c:pt>
                <c:pt idx="2">
                  <c:v>-11.9</c:v>
                </c:pt>
                <c:pt idx="3">
                  <c:v>2.19</c:v>
                </c:pt>
                <c:pt idx="4">
                  <c:v>0.439</c:v>
                </c:pt>
                <c:pt idx="5">
                  <c:v>4.8900000000000002E-3</c:v>
                </c:pt>
                <c:pt idx="6">
                  <c:v>11.8</c:v>
                </c:pt>
                <c:pt idx="7">
                  <c:v>1.33</c:v>
                </c:pt>
                <c:pt idx="8">
                  <c:v>1.81</c:v>
                </c:pt>
                <c:pt idx="9">
                  <c:v>-4.53</c:v>
                </c:pt>
                <c:pt idx="10">
                  <c:v>60.7</c:v>
                </c:pt>
              </c:numCache>
            </c:numRef>
          </c:val>
        </c:ser>
        <c:axId val="62561664"/>
        <c:axId val="62572032"/>
      </c:barChart>
      <c:catAx>
        <c:axId val="625616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8565990226831401"/>
              <c:y val="0.8699985077116196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572032"/>
        <c:crosses val="autoZero"/>
        <c:auto val="1"/>
        <c:lblAlgn val="ctr"/>
        <c:lblOffset val="100"/>
        <c:tickLblSkip val="1"/>
        <c:tickMarkSkip val="1"/>
      </c:catAx>
      <c:valAx>
        <c:axId val="625720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4856624629238419E-2"/>
              <c:y val="0.32999938552831398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56166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879478827361565"/>
          <c:y val="0.64000208334011499"/>
          <c:w val="0.24755700325732899"/>
          <c:h val="7.333357204938818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Intermediate Level Radioactive Waste Metal</a:t>
            </a:r>
          </a:p>
        </c:rich>
      </c:tx>
      <c:layout>
        <c:manualLayout>
          <c:xMode val="edge"/>
          <c:yMode val="edge"/>
          <c:x val="0.28822492178039333"/>
          <c:y val="3.438366122602021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8000064453172225E-2"/>
          <c:y val="0.14644373903472405"/>
          <c:w val="0.74000054199258403"/>
          <c:h val="0.66108887907103808"/>
        </c:manualLayout>
      </c:layout>
      <c:barChart>
        <c:barDir val="col"/>
        <c:grouping val="clustered"/>
        <c:ser>
          <c:idx val="0"/>
          <c:order val="0"/>
          <c:tx>
            <c:strRef>
              <c:f>'General metal graphs'!$A$44:$B$44</c:f>
              <c:strCache>
                <c:ptCount val="1"/>
                <c:pt idx="0">
                  <c:v>Ferrous Metals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graphs'!$C$43:$F$43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graphs'!$C$44:$F$44</c:f>
              <c:numCache>
                <c:formatCode>General</c:formatCode>
                <c:ptCount val="4"/>
                <c:pt idx="0">
                  <c:v>66400</c:v>
                </c:pt>
                <c:pt idx="1">
                  <c:v>60144</c:v>
                </c:pt>
                <c:pt idx="2">
                  <c:v>61000</c:v>
                </c:pt>
                <c:pt idx="3">
                  <c:v>72000</c:v>
                </c:pt>
              </c:numCache>
            </c:numRef>
          </c:val>
        </c:ser>
        <c:ser>
          <c:idx val="1"/>
          <c:order val="1"/>
          <c:tx>
            <c:strRef>
              <c:f>'General metal graphs'!$A$45:$B$45</c:f>
              <c:strCache>
                <c:ptCount val="1"/>
                <c:pt idx="0">
                  <c:v>Magnox/Magnesium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graphs'!$C$43:$F$43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graphs'!$C$45:$F$45</c:f>
              <c:numCache>
                <c:formatCode>General</c:formatCode>
                <c:ptCount val="4"/>
                <c:pt idx="0">
                  <c:v>6286</c:v>
                </c:pt>
                <c:pt idx="1">
                  <c:v>7079</c:v>
                </c:pt>
                <c:pt idx="2">
                  <c:v>6900</c:v>
                </c:pt>
                <c:pt idx="3">
                  <c:v>7800</c:v>
                </c:pt>
              </c:numCache>
            </c:numRef>
          </c:val>
        </c:ser>
        <c:ser>
          <c:idx val="2"/>
          <c:order val="2"/>
          <c:tx>
            <c:strRef>
              <c:f>'General metal graphs'!$A$46:$B$46</c:f>
              <c:strCache>
                <c:ptCount val="1"/>
                <c:pt idx="0">
                  <c:v>Aluminium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graphs'!$C$43:$F$43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graphs'!$C$46:$F$46</c:f>
              <c:numCache>
                <c:formatCode>General</c:formatCode>
                <c:ptCount val="4"/>
                <c:pt idx="0">
                  <c:v>1075</c:v>
                </c:pt>
                <c:pt idx="1">
                  <c:v>1236</c:v>
                </c:pt>
                <c:pt idx="2">
                  <c:v>980</c:v>
                </c:pt>
                <c:pt idx="3">
                  <c:v>1200</c:v>
                </c:pt>
              </c:numCache>
            </c:numRef>
          </c:val>
        </c:ser>
        <c:ser>
          <c:idx val="3"/>
          <c:order val="3"/>
          <c:tx>
            <c:strRef>
              <c:f>'General metal graphs'!$A$47:$B$47</c:f>
              <c:strCache>
                <c:ptCount val="1"/>
                <c:pt idx="0">
                  <c:v>Zircaloy/Zirconium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graphs'!$C$43:$F$43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graphs'!$C$47:$F$47</c:f>
              <c:numCache>
                <c:formatCode>General</c:formatCode>
                <c:ptCount val="4"/>
                <c:pt idx="0">
                  <c:v>2422</c:v>
                </c:pt>
                <c:pt idx="1">
                  <c:v>2351</c:v>
                </c:pt>
                <c:pt idx="2">
                  <c:v>1400</c:v>
                </c:pt>
                <c:pt idx="3">
                  <c:v>1500</c:v>
                </c:pt>
              </c:numCache>
            </c:numRef>
          </c:val>
        </c:ser>
        <c:ser>
          <c:idx val="4"/>
          <c:order val="4"/>
          <c:tx>
            <c:strRef>
              <c:f>'General metal graphs'!$A$48:$B$48</c:f>
              <c:strCache>
                <c:ptCount val="1"/>
                <c:pt idx="0">
                  <c:v>Other metals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graphs'!$C$43:$F$43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graphs'!$C$48:$F$48</c:f>
              <c:numCache>
                <c:formatCode>General</c:formatCode>
                <c:ptCount val="4"/>
                <c:pt idx="0">
                  <c:v>2868</c:v>
                </c:pt>
                <c:pt idx="1">
                  <c:v>2636</c:v>
                </c:pt>
                <c:pt idx="2">
                  <c:v>4300</c:v>
                </c:pt>
                <c:pt idx="3">
                  <c:v>3200</c:v>
                </c:pt>
              </c:numCache>
            </c:numRef>
          </c:val>
        </c:ser>
        <c:axId val="52457472"/>
        <c:axId val="52459392"/>
      </c:barChart>
      <c:catAx>
        <c:axId val="524574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5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4112482808124975"/>
              <c:y val="0.9140411530191379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459392"/>
        <c:crosses val="autoZero"/>
        <c:auto val="1"/>
        <c:lblAlgn val="ctr"/>
        <c:lblOffset val="100"/>
        <c:tickLblSkip val="1"/>
        <c:tickMarkSkip val="1"/>
      </c:catAx>
      <c:valAx>
        <c:axId val="524593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5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Mass (tonne)</a:t>
                </a:r>
              </a:p>
            </c:rich>
          </c:tx>
          <c:layout>
            <c:manualLayout>
              <c:xMode val="edge"/>
              <c:yMode val="edge"/>
              <c:x val="2.8119606134828133E-2"/>
              <c:y val="0.4269344903315657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45747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0379376245274"/>
          <c:y val="0.36130375683257659"/>
          <c:w val="0.10617655430407026"/>
          <c:h val="0.2309974838765653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5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864412234623403"/>
          <c:y val="0.16589899080814102"/>
          <c:w val="0.86252393705674801"/>
          <c:h val="0.66359596323256409"/>
        </c:manualLayout>
      </c:layout>
      <c:barChart>
        <c:barDir val="col"/>
        <c:grouping val="clustered"/>
        <c:ser>
          <c:idx val="0"/>
          <c:order val="0"/>
          <c:tx>
            <c:strRef>
              <c:f>'WAGR Recycling Variations'!$B$75</c:f>
              <c:strCache>
                <c:ptCount val="1"/>
                <c:pt idx="0">
                  <c:v>Ninety five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Variations'!$A$76:$A$86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Variations'!$B$76:$B$86</c:f>
              <c:numCache>
                <c:formatCode>General</c:formatCode>
                <c:ptCount val="11"/>
                <c:pt idx="0" formatCode="0.00E+00">
                  <c:v>8710</c:v>
                </c:pt>
                <c:pt idx="1">
                  <c:v>-0.247</c:v>
                </c:pt>
                <c:pt idx="2" formatCode="0.00E+00">
                  <c:v>-53200</c:v>
                </c:pt>
                <c:pt idx="3" formatCode="0.00E+00">
                  <c:v>-6100</c:v>
                </c:pt>
                <c:pt idx="4" formatCode="0.00E+00">
                  <c:v>141</c:v>
                </c:pt>
                <c:pt idx="5">
                  <c:v>0.88</c:v>
                </c:pt>
                <c:pt idx="6" formatCode="0.00E+00">
                  <c:v>4060</c:v>
                </c:pt>
                <c:pt idx="7" formatCode="0.00E+00">
                  <c:v>-342</c:v>
                </c:pt>
                <c:pt idx="8" formatCode="0.00E+00">
                  <c:v>-138</c:v>
                </c:pt>
                <c:pt idx="9" formatCode="0.00E+00">
                  <c:v>-4970</c:v>
                </c:pt>
                <c:pt idx="10" formatCode="0.00E+00">
                  <c:v>3420</c:v>
                </c:pt>
              </c:numCache>
            </c:numRef>
          </c:val>
        </c:ser>
        <c:ser>
          <c:idx val="1"/>
          <c:order val="1"/>
          <c:tx>
            <c:strRef>
              <c:f>'WAGR Recycling Variations'!$C$75</c:f>
              <c:strCache>
                <c:ptCount val="1"/>
                <c:pt idx="0">
                  <c:v>Ninety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Variations'!$A$76:$A$86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Variations'!$C$76:$C$86</c:f>
              <c:numCache>
                <c:formatCode>General</c:formatCode>
                <c:ptCount val="11"/>
                <c:pt idx="0" formatCode="0.00E+00">
                  <c:v>8740</c:v>
                </c:pt>
                <c:pt idx="1">
                  <c:v>3.07</c:v>
                </c:pt>
                <c:pt idx="2" formatCode="0.00E+00">
                  <c:v>-43700</c:v>
                </c:pt>
                <c:pt idx="3" formatCode="0.00E+00">
                  <c:v>-4790</c:v>
                </c:pt>
                <c:pt idx="4" formatCode="0.00E+00">
                  <c:v>147</c:v>
                </c:pt>
                <c:pt idx="5">
                  <c:v>1.06</c:v>
                </c:pt>
                <c:pt idx="6" formatCode="0.00E+00">
                  <c:v>4160</c:v>
                </c:pt>
                <c:pt idx="7" formatCode="0.00E+00">
                  <c:v>-174</c:v>
                </c:pt>
                <c:pt idx="8" formatCode="0.00E+00">
                  <c:v>22</c:v>
                </c:pt>
                <c:pt idx="9" formatCode="0.00E+00">
                  <c:v>-4200</c:v>
                </c:pt>
                <c:pt idx="10" formatCode="0.00E+00">
                  <c:v>4910</c:v>
                </c:pt>
              </c:numCache>
            </c:numRef>
          </c:val>
        </c:ser>
        <c:ser>
          <c:idx val="2"/>
          <c:order val="2"/>
          <c:tx>
            <c:strRef>
              <c:f>'WAGR Recycling Variations'!$D$75</c:f>
              <c:strCache>
                <c:ptCount val="1"/>
                <c:pt idx="0">
                  <c:v>Eighty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Variations'!$A$76:$A$86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Variations'!$D$76:$D$86</c:f>
              <c:numCache>
                <c:formatCode>General</c:formatCode>
                <c:ptCount val="11"/>
                <c:pt idx="0" formatCode="0.00E+00">
                  <c:v>8880</c:v>
                </c:pt>
                <c:pt idx="1">
                  <c:v>10.4</c:v>
                </c:pt>
                <c:pt idx="2" formatCode="0.00E+00">
                  <c:v>-24200</c:v>
                </c:pt>
                <c:pt idx="3" formatCode="0.00E+00">
                  <c:v>-1960</c:v>
                </c:pt>
                <c:pt idx="4" formatCode="0.00E+00">
                  <c:v>161</c:v>
                </c:pt>
                <c:pt idx="5">
                  <c:v>1.51</c:v>
                </c:pt>
                <c:pt idx="6" formatCode="0.00E+00">
                  <c:v>4450</c:v>
                </c:pt>
                <c:pt idx="7" formatCode="0.00E+00">
                  <c:v>178</c:v>
                </c:pt>
                <c:pt idx="8" formatCode="0.00E+00">
                  <c:v>372</c:v>
                </c:pt>
                <c:pt idx="9" formatCode="0.00E+00">
                  <c:v>-2550</c:v>
                </c:pt>
                <c:pt idx="10" formatCode="0.00E+00">
                  <c:v>8530</c:v>
                </c:pt>
              </c:numCache>
            </c:numRef>
          </c:val>
        </c:ser>
        <c:ser>
          <c:idx val="3"/>
          <c:order val="3"/>
          <c:tx>
            <c:strRef>
              <c:f>'WAGR Recycling Variations'!$E$75</c:f>
              <c:strCache>
                <c:ptCount val="1"/>
                <c:pt idx="0">
                  <c:v>Seventy five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Variations'!$A$76:$A$86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Variations'!$E$76:$E$86</c:f>
              <c:numCache>
                <c:formatCode>General</c:formatCode>
                <c:ptCount val="11"/>
                <c:pt idx="0" formatCode="0.00E+00">
                  <c:v>8940</c:v>
                </c:pt>
                <c:pt idx="1">
                  <c:v>14.1</c:v>
                </c:pt>
                <c:pt idx="2" formatCode="0.00E+00">
                  <c:v>-14500</c:v>
                </c:pt>
                <c:pt idx="3" formatCode="0.00E+00">
                  <c:v>-541</c:v>
                </c:pt>
                <c:pt idx="4" formatCode="0.00E+00">
                  <c:v>168</c:v>
                </c:pt>
                <c:pt idx="5">
                  <c:v>1.73</c:v>
                </c:pt>
                <c:pt idx="6" formatCode="0.00E+00">
                  <c:v>4590</c:v>
                </c:pt>
                <c:pt idx="7" formatCode="0.00E+00">
                  <c:v>354</c:v>
                </c:pt>
                <c:pt idx="8" formatCode="0.00E+00">
                  <c:v>547</c:v>
                </c:pt>
                <c:pt idx="9" formatCode="0.00E+00">
                  <c:v>-1730</c:v>
                </c:pt>
                <c:pt idx="10" formatCode="0.00E+00">
                  <c:v>10300</c:v>
                </c:pt>
              </c:numCache>
            </c:numRef>
          </c:val>
        </c:ser>
        <c:ser>
          <c:idx val="4"/>
          <c:order val="4"/>
          <c:tx>
            <c:strRef>
              <c:f>'WAGR Recycling Variations'!$F$75</c:f>
              <c:strCache>
                <c:ptCount val="1"/>
                <c:pt idx="0">
                  <c:v>Seventy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Variations'!$A$76:$A$86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Variations'!$F$76:$F$86</c:f>
              <c:numCache>
                <c:formatCode>General</c:formatCode>
                <c:ptCount val="11"/>
                <c:pt idx="0" formatCode="0.00E+00">
                  <c:v>9010</c:v>
                </c:pt>
                <c:pt idx="1">
                  <c:v>17.8</c:v>
                </c:pt>
                <c:pt idx="2" formatCode="0.00E+00">
                  <c:v>-4770</c:v>
                </c:pt>
                <c:pt idx="3" formatCode="0.00E+00">
                  <c:v>877</c:v>
                </c:pt>
                <c:pt idx="4" formatCode="0.00E+00">
                  <c:v>176</c:v>
                </c:pt>
                <c:pt idx="5">
                  <c:v>1.96</c:v>
                </c:pt>
                <c:pt idx="6" formatCode="0.00E+00">
                  <c:v>4730</c:v>
                </c:pt>
                <c:pt idx="7" formatCode="0.00E+00">
                  <c:v>530</c:v>
                </c:pt>
                <c:pt idx="8" formatCode="0.00E+00">
                  <c:v>722</c:v>
                </c:pt>
                <c:pt idx="9" formatCode="0.00E+00">
                  <c:v>-906</c:v>
                </c:pt>
                <c:pt idx="10" formatCode="0.00E+00">
                  <c:v>12100</c:v>
                </c:pt>
              </c:numCache>
            </c:numRef>
          </c:val>
        </c:ser>
        <c:axId val="47952256"/>
        <c:axId val="47954176"/>
      </c:barChart>
      <c:catAx>
        <c:axId val="479522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523785017068944"/>
              <c:y val="0.878503371693922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954176"/>
        <c:crosses val="autoZero"/>
        <c:auto val="1"/>
        <c:lblAlgn val="ctr"/>
        <c:lblOffset val="100"/>
        <c:tickLblSkip val="1"/>
        <c:tickMarkSkip val="1"/>
      </c:catAx>
      <c:valAx>
        <c:axId val="479541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47619782821265E-2"/>
              <c:y val="0.26168156672723603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95225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479658250645398"/>
          <c:y val="0.18098159509202455"/>
          <c:w val="0.24796104579890602"/>
          <c:h val="6.748466257668711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284069097888702"/>
          <c:y val="0.23694732651832606"/>
          <c:w val="0.85604606525911708"/>
          <c:h val="0.61847268277664791"/>
        </c:manualLayout>
      </c:layout>
      <c:barChart>
        <c:barDir val="col"/>
        <c:grouping val="stacked"/>
        <c:ser>
          <c:idx val="0"/>
          <c:order val="0"/>
          <c:tx>
            <c:strRef>
              <c:f>'WAGR Recycling Variations'!$A$91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Variations'!$B$90:$E$90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Variations'!$B$91:$E$91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Recycling Variations'!$A$92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Variations'!$B$90:$E$90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Variations'!$B$92:$E$92</c:f>
              <c:numCache>
                <c:formatCode>0.00E+00</c:formatCode>
                <c:ptCount val="4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</c:numCache>
            </c:numRef>
          </c:val>
        </c:ser>
        <c:ser>
          <c:idx val="2"/>
          <c:order val="2"/>
          <c:tx>
            <c:strRef>
              <c:f>'WAGR Recycling Variations'!$A$93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Variations'!$B$90:$E$90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Variations'!$B$93:$E$93</c:f>
              <c:numCache>
                <c:formatCode>0.00E+00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923</c:v>
                </c:pt>
                <c:pt idx="3">
                  <c:v>923</c:v>
                </c:pt>
              </c:numCache>
            </c:numRef>
          </c:val>
        </c:ser>
        <c:ser>
          <c:idx val="3"/>
          <c:order val="3"/>
          <c:tx>
            <c:strRef>
              <c:f>'WAGR Recycling Variations'!$A$94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Variations'!$B$90:$E$90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Variations'!$B$94:$E$94</c:f>
              <c:numCache>
                <c:formatCode>0.00E+00</c:formatCode>
                <c:ptCount val="4"/>
                <c:pt idx="0">
                  <c:v>1506</c:v>
                </c:pt>
                <c:pt idx="1">
                  <c:v>1506</c:v>
                </c:pt>
                <c:pt idx="2">
                  <c:v>1506</c:v>
                </c:pt>
                <c:pt idx="3">
                  <c:v>1506</c:v>
                </c:pt>
              </c:numCache>
            </c:numRef>
          </c:val>
        </c:ser>
        <c:ser>
          <c:idx val="4"/>
          <c:order val="4"/>
          <c:tx>
            <c:strRef>
              <c:f>'WAGR Recycling Variations'!$A$95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Variations'!$B$90:$E$90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Variations'!$B$95:$E$95</c:f>
              <c:numCache>
                <c:formatCode>0.00E+00</c:formatCode>
                <c:ptCount val="4"/>
                <c:pt idx="0">
                  <c:v>4076</c:v>
                </c:pt>
                <c:pt idx="1">
                  <c:v>4076</c:v>
                </c:pt>
                <c:pt idx="2">
                  <c:v>4076</c:v>
                </c:pt>
                <c:pt idx="3">
                  <c:v>4076</c:v>
                </c:pt>
              </c:numCache>
            </c:numRef>
          </c:val>
        </c:ser>
        <c:ser>
          <c:idx val="5"/>
          <c:order val="5"/>
          <c:tx>
            <c:strRef>
              <c:f>'WAGR Recycling Variations'!$A$96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Variations'!$B$90:$E$90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Variations'!$B$96:$E$96</c:f>
              <c:numCache>
                <c:formatCode>0.00E+00</c:formatCode>
                <c:ptCount val="4"/>
                <c:pt idx="0">
                  <c:v>3234</c:v>
                </c:pt>
                <c:pt idx="1">
                  <c:v>3234</c:v>
                </c:pt>
                <c:pt idx="2">
                  <c:v>3234</c:v>
                </c:pt>
                <c:pt idx="3">
                  <c:v>3234</c:v>
                </c:pt>
              </c:numCache>
            </c:numRef>
          </c:val>
        </c:ser>
        <c:ser>
          <c:idx val="6"/>
          <c:order val="6"/>
          <c:tx>
            <c:strRef>
              <c:f>'WAGR Recycling Variations'!$A$97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Variations'!$B$90:$E$90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Variations'!$B$97:$E$97</c:f>
              <c:numCache>
                <c:formatCode>0.00E+00</c:formatCode>
                <c:ptCount val="4"/>
                <c:pt idx="0">
                  <c:v>4550</c:v>
                </c:pt>
                <c:pt idx="1">
                  <c:v>9100</c:v>
                </c:pt>
                <c:pt idx="2">
                  <c:v>4550</c:v>
                </c:pt>
                <c:pt idx="3">
                  <c:v>9100</c:v>
                </c:pt>
              </c:numCache>
            </c:numRef>
          </c:val>
        </c:ser>
        <c:ser>
          <c:idx val="7"/>
          <c:order val="7"/>
          <c:tx>
            <c:strRef>
              <c:f>'WAGR Recycling Variations'!$A$98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Variations'!$B$90:$E$90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Variations'!$B$98:$E$98</c:f>
              <c:numCache>
                <c:formatCode>0.00E+00</c:formatCode>
                <c:ptCount val="4"/>
                <c:pt idx="0">
                  <c:v>4169</c:v>
                </c:pt>
                <c:pt idx="1">
                  <c:v>4169</c:v>
                </c:pt>
                <c:pt idx="2">
                  <c:v>4169</c:v>
                </c:pt>
                <c:pt idx="3">
                  <c:v>4169</c:v>
                </c:pt>
              </c:numCache>
            </c:numRef>
          </c:val>
        </c:ser>
        <c:ser>
          <c:idx val="8"/>
          <c:order val="8"/>
          <c:tx>
            <c:strRef>
              <c:f>'WAGR Recycling Variations'!$A$99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Variations'!$B$90:$E$90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Variations'!$B$99:$E$99</c:f>
              <c:numCache>
                <c:formatCode>0.00E+00</c:formatCode>
                <c:ptCount val="4"/>
                <c:pt idx="0">
                  <c:v>-111000</c:v>
                </c:pt>
                <c:pt idx="1">
                  <c:v>-111000</c:v>
                </c:pt>
                <c:pt idx="2">
                  <c:v>-73600</c:v>
                </c:pt>
                <c:pt idx="3">
                  <c:v>-73600</c:v>
                </c:pt>
              </c:numCache>
            </c:numRef>
          </c:val>
        </c:ser>
        <c:ser>
          <c:idx val="9"/>
          <c:order val="9"/>
          <c:tx>
            <c:strRef>
              <c:f>'WAGR Recycling Variations'!$A$100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Variations'!$B$90:$E$90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Variations'!$B$100:$E$100</c:f>
              <c:numCache>
                <c:formatCode>0.00E+00</c:formatCode>
                <c:ptCount val="4"/>
                <c:pt idx="0">
                  <c:v>5244</c:v>
                </c:pt>
                <c:pt idx="1">
                  <c:v>5244</c:v>
                </c:pt>
                <c:pt idx="2">
                  <c:v>5252</c:v>
                </c:pt>
                <c:pt idx="3">
                  <c:v>5252</c:v>
                </c:pt>
              </c:numCache>
            </c:numRef>
          </c:val>
        </c:ser>
        <c:ser>
          <c:idx val="10"/>
          <c:order val="10"/>
          <c:tx>
            <c:strRef>
              <c:f>'WAGR Recycling Variations'!$A$101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Variations'!$B$90:$E$90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Variations'!$B$101:$E$101</c:f>
              <c:numCache>
                <c:formatCode>0.00E+00</c:formatCode>
                <c:ptCount val="4"/>
                <c:pt idx="0">
                  <c:v>265.10000000000002</c:v>
                </c:pt>
                <c:pt idx="1">
                  <c:v>265.10000000000002</c:v>
                </c:pt>
                <c:pt idx="2">
                  <c:v>320.7</c:v>
                </c:pt>
                <c:pt idx="3">
                  <c:v>320.7</c:v>
                </c:pt>
              </c:numCache>
            </c:numRef>
          </c:val>
        </c:ser>
        <c:ser>
          <c:idx val="11"/>
          <c:order val="11"/>
          <c:tx>
            <c:strRef>
              <c:f>'WAGR Recycling Variations'!$A$102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Variations'!$B$90:$E$90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Variations'!$B$102:$E$102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overlap val="100"/>
        <c:axId val="48302720"/>
        <c:axId val="48313088"/>
      </c:barChart>
      <c:catAx>
        <c:axId val="483027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Bulk Recycling Avoided Metal and Electrical Load</a:t>
                </a:r>
              </a:p>
            </c:rich>
          </c:tx>
          <c:layout>
            <c:manualLayout>
              <c:xMode val="edge"/>
              <c:yMode val="edge"/>
              <c:x val="0.37403085845550504"/>
              <c:y val="0.8951623004229029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313088"/>
        <c:crosses val="autoZero"/>
        <c:auto val="1"/>
        <c:lblAlgn val="ctr"/>
        <c:lblOffset val="100"/>
        <c:tickLblSkip val="1"/>
        <c:tickMarkSkip val="1"/>
      </c:catAx>
      <c:valAx>
        <c:axId val="483130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5193880714993823E-2"/>
              <c:y val="0.33871018133457181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30272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963394342762063"/>
          <c:y val="1.876675603217158E-2"/>
          <c:w val="0.64559068219633942"/>
          <c:h val="0.1635388739946380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188679245283001"/>
          <c:y val="0.16826962578318899"/>
          <c:w val="0.87924528301886817"/>
          <c:h val="0.65865539235133819"/>
        </c:manualLayout>
      </c:layout>
      <c:barChart>
        <c:barDir val="col"/>
        <c:grouping val="clustered"/>
        <c:ser>
          <c:idx val="0"/>
          <c:order val="0"/>
          <c:tx>
            <c:strRef>
              <c:f>'WAGR Recycling Variations'!$B$106</c:f>
              <c:strCache>
                <c:ptCount val="1"/>
                <c:pt idx="0">
                  <c:v>Pig Iron Case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Variations'!$A$107:$A$117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Variations'!$B$107:$B$117</c:f>
              <c:numCache>
                <c:formatCode>0.00</c:formatCode>
                <c:ptCount val="11"/>
                <c:pt idx="0">
                  <c:v>-0.85499999999999998</c:v>
                </c:pt>
                <c:pt idx="1">
                  <c:v>-3.2399999999999998E-2</c:v>
                </c:pt>
                <c:pt idx="2">
                  <c:v>-177</c:v>
                </c:pt>
                <c:pt idx="3">
                  <c:v>-21.1</c:v>
                </c:pt>
                <c:pt idx="4">
                  <c:v>0.246</c:v>
                </c:pt>
                <c:pt idx="5">
                  <c:v>-2.2900000000000001E-4</c:v>
                </c:pt>
                <c:pt idx="6">
                  <c:v>-0.49399999999999999</c:v>
                </c:pt>
                <c:pt idx="7">
                  <c:v>-1.88</c:v>
                </c:pt>
                <c:pt idx="8">
                  <c:v>-1.22</c:v>
                </c:pt>
                <c:pt idx="9">
                  <c:v>-2.74</c:v>
                </c:pt>
                <c:pt idx="10">
                  <c:v>-27.1</c:v>
                </c:pt>
              </c:numCache>
            </c:numRef>
          </c:val>
        </c:ser>
        <c:ser>
          <c:idx val="1"/>
          <c:order val="1"/>
          <c:tx>
            <c:strRef>
              <c:f>'WAGR Recycling Variations'!$C$106</c:f>
              <c:strCache>
                <c:ptCount val="1"/>
                <c:pt idx="0">
                  <c:v>Pig Iron Case x2 Melting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Variations'!$A$107:$A$117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Variations'!$C$107:$C$117</c:f>
              <c:numCache>
                <c:formatCode>0.00</c:formatCode>
                <c:ptCount val="11"/>
                <c:pt idx="0">
                  <c:v>-0.21299999999999999</c:v>
                </c:pt>
                <c:pt idx="1">
                  <c:v>-0.03</c:v>
                </c:pt>
                <c:pt idx="2">
                  <c:v>-171</c:v>
                </c:pt>
                <c:pt idx="3">
                  <c:v>-20</c:v>
                </c:pt>
                <c:pt idx="4">
                  <c:v>0.48699999999999999</c:v>
                </c:pt>
                <c:pt idx="5">
                  <c:v>4.8700000000000002E-4</c:v>
                </c:pt>
                <c:pt idx="6">
                  <c:v>-0.20300000000000001</c:v>
                </c:pt>
                <c:pt idx="7">
                  <c:v>-1.74</c:v>
                </c:pt>
                <c:pt idx="8">
                  <c:v>-0.98899999999999999</c:v>
                </c:pt>
                <c:pt idx="9">
                  <c:v>-2.4700000000000002</c:v>
                </c:pt>
                <c:pt idx="10">
                  <c:v>-23.4</c:v>
                </c:pt>
              </c:numCache>
            </c:numRef>
          </c:val>
        </c:ser>
        <c:ser>
          <c:idx val="2"/>
          <c:order val="2"/>
          <c:tx>
            <c:strRef>
              <c:f>'WAGR Recycling Variations'!$D$106</c:f>
              <c:strCache>
                <c:ptCount val="1"/>
                <c:pt idx="0">
                  <c:v>Final Ref Case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Variations'!$A$107:$A$117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Variations'!$D$107:$D$117</c:f>
              <c:numCache>
                <c:formatCode>0.00</c:formatCode>
                <c:ptCount val="11"/>
                <c:pt idx="0">
                  <c:v>21.8</c:v>
                </c:pt>
                <c:pt idx="1">
                  <c:v>-6.1700000000000004E-4</c:v>
                </c:pt>
                <c:pt idx="2">
                  <c:v>-133</c:v>
                </c:pt>
                <c:pt idx="3">
                  <c:v>-15.3</c:v>
                </c:pt>
                <c:pt idx="4">
                  <c:v>0.35199999999999998</c:v>
                </c:pt>
                <c:pt idx="5">
                  <c:v>2.2000000000000001E-3</c:v>
                </c:pt>
                <c:pt idx="6">
                  <c:v>10.199999999999999</c:v>
                </c:pt>
                <c:pt idx="7">
                  <c:v>-0.85399999999999998</c:v>
                </c:pt>
                <c:pt idx="8">
                  <c:v>-0.34399999999999997</c:v>
                </c:pt>
                <c:pt idx="9">
                  <c:v>-24.9</c:v>
                </c:pt>
                <c:pt idx="10">
                  <c:v>17.100000000000001</c:v>
                </c:pt>
              </c:numCache>
            </c:numRef>
          </c:val>
        </c:ser>
        <c:ser>
          <c:idx val="3"/>
          <c:order val="3"/>
          <c:tx>
            <c:strRef>
              <c:f>'WAGR Recycling Variations'!$E$106</c:f>
              <c:strCache>
                <c:ptCount val="1"/>
                <c:pt idx="0">
                  <c:v>Final Ref Case x2 Melting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Variations'!$A$107:$A$117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Variations'!$E$107:$E$117</c:f>
              <c:numCache>
                <c:formatCode>0.00</c:formatCode>
                <c:ptCount val="11"/>
                <c:pt idx="0">
                  <c:v>22.4</c:v>
                </c:pt>
                <c:pt idx="1">
                  <c:v>1.72E-3</c:v>
                </c:pt>
                <c:pt idx="2">
                  <c:v>-126</c:v>
                </c:pt>
                <c:pt idx="3">
                  <c:v>-14.1</c:v>
                </c:pt>
                <c:pt idx="4">
                  <c:v>0.59299999999999997</c:v>
                </c:pt>
                <c:pt idx="5">
                  <c:v>2.9099999999999998E-3</c:v>
                </c:pt>
                <c:pt idx="6">
                  <c:v>10.5</c:v>
                </c:pt>
                <c:pt idx="7">
                  <c:v>-0.71399999999999997</c:v>
                </c:pt>
                <c:pt idx="8">
                  <c:v>-0.112</c:v>
                </c:pt>
                <c:pt idx="9">
                  <c:v>-24.6</c:v>
                </c:pt>
                <c:pt idx="10">
                  <c:v>20.8</c:v>
                </c:pt>
              </c:numCache>
            </c:numRef>
          </c:val>
        </c:ser>
        <c:axId val="48339584"/>
        <c:axId val="48358144"/>
      </c:barChart>
      <c:catAx>
        <c:axId val="483395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Bulk Recycling Impact Category</a:t>
                </a:r>
              </a:p>
            </c:rich>
          </c:tx>
          <c:layout>
            <c:manualLayout>
              <c:xMode val="edge"/>
              <c:yMode val="edge"/>
              <c:x val="0.42748061764108147"/>
              <c:y val="0.8750019247594050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358144"/>
        <c:crosses val="autoZero"/>
        <c:auto val="1"/>
        <c:lblAlgn val="ctr"/>
        <c:lblOffset val="100"/>
        <c:tickLblSkip val="1"/>
        <c:tickMarkSkip val="1"/>
      </c:catAx>
      <c:valAx>
        <c:axId val="483581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4809246455395714E-2"/>
              <c:y val="0.3365392825896763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33958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38553334915355"/>
          <c:y val="3.3444816053511704E-2"/>
          <c:w val="0.35420127339347696"/>
          <c:h val="6.688963210702340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931807147580101"/>
          <c:y val="0.16826962578318899"/>
          <c:w val="0.86174162732522919"/>
          <c:h val="0.66827079953894908"/>
        </c:manualLayout>
      </c:layout>
      <c:barChart>
        <c:barDir val="col"/>
        <c:grouping val="clustered"/>
        <c:ser>
          <c:idx val="0"/>
          <c:order val="0"/>
          <c:tx>
            <c:strRef>
              <c:f>'WAGR Recycling Variations'!$B$119</c:f>
              <c:strCache>
                <c:ptCount val="1"/>
                <c:pt idx="0">
                  <c:v>Pig Iron Case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Variations'!$A$120:$A$130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Variations'!$B$120:$B$130</c:f>
              <c:numCache>
                <c:formatCode>General</c:formatCode>
                <c:ptCount val="11"/>
                <c:pt idx="0" formatCode="0.00E+00">
                  <c:v>342</c:v>
                </c:pt>
                <c:pt idx="1">
                  <c:v>-12.9</c:v>
                </c:pt>
                <c:pt idx="2" formatCode="0.00E+00">
                  <c:v>-70900</c:v>
                </c:pt>
                <c:pt idx="3" formatCode="0.00E+00">
                  <c:v>-8450</c:v>
                </c:pt>
                <c:pt idx="4" formatCode="0.00E+00">
                  <c:v>98.3</c:v>
                </c:pt>
                <c:pt idx="5">
                  <c:v>-9.1499999999999998E-2</c:v>
                </c:pt>
                <c:pt idx="6" formatCode="0.00E+00">
                  <c:v>-198</c:v>
                </c:pt>
                <c:pt idx="7" formatCode="0.00E+00">
                  <c:v>-753</c:v>
                </c:pt>
                <c:pt idx="8" formatCode="0.00E+00">
                  <c:v>-488</c:v>
                </c:pt>
                <c:pt idx="9" formatCode="0.00E+00">
                  <c:v>-549</c:v>
                </c:pt>
                <c:pt idx="10" formatCode="0.00E+00">
                  <c:v>-5430</c:v>
                </c:pt>
              </c:numCache>
            </c:numRef>
          </c:val>
        </c:ser>
        <c:ser>
          <c:idx val="1"/>
          <c:order val="1"/>
          <c:tx>
            <c:strRef>
              <c:f>'WAGR Recycling Variations'!$C$119</c:f>
              <c:strCache>
                <c:ptCount val="1"/>
                <c:pt idx="0">
                  <c:v>Pig Iron Case x2 Melting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Variations'!$A$120:$A$130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Variations'!$C$120:$C$130</c:f>
              <c:numCache>
                <c:formatCode>General</c:formatCode>
                <c:ptCount val="11"/>
                <c:pt idx="0" formatCode="0.00E+00">
                  <c:v>-85</c:v>
                </c:pt>
                <c:pt idx="1">
                  <c:v>-12</c:v>
                </c:pt>
                <c:pt idx="2" formatCode="0.00E+00">
                  <c:v>-68200</c:v>
                </c:pt>
                <c:pt idx="3" formatCode="0.00E+00">
                  <c:v>-8010</c:v>
                </c:pt>
                <c:pt idx="4" formatCode="0.00E+00">
                  <c:v>195</c:v>
                </c:pt>
                <c:pt idx="5">
                  <c:v>0.19500000000000001</c:v>
                </c:pt>
                <c:pt idx="6" formatCode="0.00E+00">
                  <c:v>-81.3</c:v>
                </c:pt>
                <c:pt idx="7" formatCode="0.00E+00">
                  <c:v>-697</c:v>
                </c:pt>
                <c:pt idx="8" formatCode="0.00E+00">
                  <c:v>-396</c:v>
                </c:pt>
                <c:pt idx="9" formatCode="0.00E+00">
                  <c:v>-495</c:v>
                </c:pt>
                <c:pt idx="10" formatCode="0.00E+00">
                  <c:v>-4680</c:v>
                </c:pt>
              </c:numCache>
            </c:numRef>
          </c:val>
        </c:ser>
        <c:ser>
          <c:idx val="2"/>
          <c:order val="2"/>
          <c:tx>
            <c:strRef>
              <c:f>'WAGR Recycling Variations'!$D$119</c:f>
              <c:strCache>
                <c:ptCount val="1"/>
                <c:pt idx="0">
                  <c:v>Final Ref Case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Variations'!$A$120:$A$130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Variations'!$D$120:$D$130</c:f>
              <c:numCache>
                <c:formatCode>General</c:formatCode>
                <c:ptCount val="11"/>
                <c:pt idx="0" formatCode="0.00E+00">
                  <c:v>8710</c:v>
                </c:pt>
                <c:pt idx="1">
                  <c:v>-0.247</c:v>
                </c:pt>
                <c:pt idx="2" formatCode="0.00E+00">
                  <c:v>-53200</c:v>
                </c:pt>
                <c:pt idx="3" formatCode="0.00E+00">
                  <c:v>-6100</c:v>
                </c:pt>
                <c:pt idx="4" formatCode="0.00E+00">
                  <c:v>141</c:v>
                </c:pt>
                <c:pt idx="5">
                  <c:v>0.88</c:v>
                </c:pt>
                <c:pt idx="6" formatCode="0.00E+00">
                  <c:v>4060</c:v>
                </c:pt>
                <c:pt idx="7" formatCode="0.00E+00">
                  <c:v>-342</c:v>
                </c:pt>
                <c:pt idx="8" formatCode="0.00E+00">
                  <c:v>-138</c:v>
                </c:pt>
                <c:pt idx="9" formatCode="0.00E+00">
                  <c:v>-4970</c:v>
                </c:pt>
                <c:pt idx="10" formatCode="0.00E+00">
                  <c:v>3420</c:v>
                </c:pt>
              </c:numCache>
            </c:numRef>
          </c:val>
        </c:ser>
        <c:ser>
          <c:idx val="3"/>
          <c:order val="3"/>
          <c:tx>
            <c:strRef>
              <c:f>'WAGR Recycling Variations'!$E$119</c:f>
              <c:strCache>
                <c:ptCount val="1"/>
                <c:pt idx="0">
                  <c:v>Final Ref Case x2 Melting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Variations'!$A$120:$A$130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Variations'!$E$120:$E$130</c:f>
              <c:numCache>
                <c:formatCode>General</c:formatCode>
                <c:ptCount val="11"/>
                <c:pt idx="0" formatCode="0.00E+00">
                  <c:v>8970</c:v>
                </c:pt>
                <c:pt idx="1">
                  <c:v>0.68799999999999994</c:v>
                </c:pt>
                <c:pt idx="2" formatCode="0.00E+00">
                  <c:v>-50500</c:v>
                </c:pt>
                <c:pt idx="3" formatCode="0.00E+00">
                  <c:v>-5660</c:v>
                </c:pt>
                <c:pt idx="4" formatCode="0.00E+00">
                  <c:v>237</c:v>
                </c:pt>
                <c:pt idx="5" formatCode="0.00E+00">
                  <c:v>1.17</c:v>
                </c:pt>
                <c:pt idx="6" formatCode="0.00E+00">
                  <c:v>4180</c:v>
                </c:pt>
                <c:pt idx="7" formatCode="0.00E+00">
                  <c:v>-286</c:v>
                </c:pt>
                <c:pt idx="8" formatCode="0.00E+00">
                  <c:v>-44.9</c:v>
                </c:pt>
                <c:pt idx="9" formatCode="0.00E+00">
                  <c:v>-4923</c:v>
                </c:pt>
                <c:pt idx="10" formatCode="0.00E+00">
                  <c:v>4170</c:v>
                </c:pt>
              </c:numCache>
            </c:numRef>
          </c:val>
        </c:ser>
        <c:axId val="62626432"/>
        <c:axId val="62632704"/>
      </c:barChart>
      <c:catAx>
        <c:axId val="626264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Bulk Recycling Impact Category</a:t>
                </a:r>
              </a:p>
            </c:rich>
          </c:tx>
          <c:layout>
            <c:manualLayout>
              <c:xMode val="edge"/>
              <c:yMode val="edge"/>
              <c:x val="0.4367815498472527"/>
              <c:y val="0.8755964806724740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632704"/>
        <c:crosses val="autoZero"/>
        <c:auto val="1"/>
        <c:lblAlgn val="ctr"/>
        <c:lblOffset val="100"/>
        <c:tickLblSkip val="1"/>
        <c:tickMarkSkip val="1"/>
      </c:catAx>
      <c:valAx>
        <c:axId val="626327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4904091906544468E-2"/>
              <c:y val="0.2535883014623172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62643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09880419025692"/>
          <c:y val="3.3333441840630994E-2"/>
          <c:w val="0.37213144541771692"/>
          <c:h val="6.666688368126198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764714057622302"/>
          <c:y val="0.24686230294424802"/>
          <c:w val="0.86148067454202204"/>
          <c:h val="0.59832727662758511"/>
        </c:manualLayout>
      </c:layout>
      <c:barChart>
        <c:barDir val="col"/>
        <c:grouping val="stacked"/>
        <c:ser>
          <c:idx val="0"/>
          <c:order val="0"/>
          <c:tx>
            <c:strRef>
              <c:f>'WAGR Recycling Variations'!$A$135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Variations'!$B$134:$E$134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Variations'!$B$135:$E$135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Recycling Variations'!$A$136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Variations'!$B$134:$E$134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Variations'!$B$136:$E$136</c:f>
              <c:numCache>
                <c:formatCode>0.00E+00</c:formatCode>
                <c:ptCount val="4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</c:numCache>
            </c:numRef>
          </c:val>
        </c:ser>
        <c:ser>
          <c:idx val="2"/>
          <c:order val="2"/>
          <c:tx>
            <c:strRef>
              <c:f>'WAGR Recycling Variations'!$A$137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Variations'!$B$134:$E$134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Variations'!$B$137:$E$137</c:f>
              <c:numCache>
                <c:formatCode>0.00E+00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923</c:v>
                </c:pt>
                <c:pt idx="3">
                  <c:v>923</c:v>
                </c:pt>
              </c:numCache>
            </c:numRef>
          </c:val>
        </c:ser>
        <c:ser>
          <c:idx val="3"/>
          <c:order val="3"/>
          <c:tx>
            <c:strRef>
              <c:f>'WAGR Recycling Variations'!$A$138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Variations'!$B$134:$E$134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Variations'!$B$138:$E$138</c:f>
              <c:numCache>
                <c:formatCode>0.00E+00</c:formatCode>
                <c:ptCount val="4"/>
                <c:pt idx="0">
                  <c:v>5570</c:v>
                </c:pt>
                <c:pt idx="1">
                  <c:v>5570</c:v>
                </c:pt>
                <c:pt idx="2">
                  <c:v>5819</c:v>
                </c:pt>
                <c:pt idx="3">
                  <c:v>5819</c:v>
                </c:pt>
              </c:numCache>
            </c:numRef>
          </c:val>
        </c:ser>
        <c:ser>
          <c:idx val="4"/>
          <c:order val="4"/>
          <c:tx>
            <c:strRef>
              <c:f>'WAGR Recycling Variations'!$A$139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Variations'!$B$134:$E$134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Variations'!$B$139:$E$139</c:f>
              <c:numCache>
                <c:formatCode>0.00E+00</c:formatCode>
                <c:ptCount val="4"/>
                <c:pt idx="0">
                  <c:v>2967</c:v>
                </c:pt>
                <c:pt idx="1">
                  <c:v>2967</c:v>
                </c:pt>
                <c:pt idx="2">
                  <c:v>3095</c:v>
                </c:pt>
                <c:pt idx="3">
                  <c:v>3095</c:v>
                </c:pt>
              </c:numCache>
            </c:numRef>
          </c:val>
        </c:ser>
        <c:ser>
          <c:idx val="5"/>
          <c:order val="5"/>
          <c:tx>
            <c:strRef>
              <c:f>'WAGR Recycling Variations'!$A$140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Variations'!$B$134:$E$134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Variations'!$B$140:$E$140</c:f>
              <c:numCache>
                <c:formatCode>0.00E+00</c:formatCode>
                <c:ptCount val="4"/>
                <c:pt idx="0">
                  <c:v>3234</c:v>
                </c:pt>
                <c:pt idx="1">
                  <c:v>3234</c:v>
                </c:pt>
                <c:pt idx="2">
                  <c:v>3234</c:v>
                </c:pt>
                <c:pt idx="3">
                  <c:v>3234</c:v>
                </c:pt>
              </c:numCache>
            </c:numRef>
          </c:val>
        </c:ser>
        <c:ser>
          <c:idx val="6"/>
          <c:order val="6"/>
          <c:tx>
            <c:strRef>
              <c:f>'WAGR Recycling Variations'!$A$141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Variations'!$B$134:$E$134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Variations'!$B$141:$E$141</c:f>
              <c:numCache>
                <c:formatCode>0.00E+00</c:formatCode>
                <c:ptCount val="4"/>
                <c:pt idx="0">
                  <c:v>4550</c:v>
                </c:pt>
                <c:pt idx="1">
                  <c:v>9100</c:v>
                </c:pt>
                <c:pt idx="2">
                  <c:v>4550</c:v>
                </c:pt>
                <c:pt idx="3">
                  <c:v>9100</c:v>
                </c:pt>
              </c:numCache>
            </c:numRef>
          </c:val>
        </c:ser>
        <c:ser>
          <c:idx val="7"/>
          <c:order val="7"/>
          <c:tx>
            <c:strRef>
              <c:f>'WAGR Recycling Variations'!$A$142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Variations'!$B$134:$E$134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Variations'!$B$142:$E$142</c:f>
              <c:numCache>
                <c:formatCode>0.00E+00</c:formatCode>
                <c:ptCount val="4"/>
                <c:pt idx="0">
                  <c:v>3807</c:v>
                </c:pt>
                <c:pt idx="1">
                  <c:v>3807</c:v>
                </c:pt>
                <c:pt idx="2">
                  <c:v>3757</c:v>
                </c:pt>
                <c:pt idx="3">
                  <c:v>3757</c:v>
                </c:pt>
              </c:numCache>
            </c:numRef>
          </c:val>
        </c:ser>
        <c:ser>
          <c:idx val="8"/>
          <c:order val="8"/>
          <c:tx>
            <c:strRef>
              <c:f>'WAGR Recycling Variations'!$A$143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Variations'!$B$134:$E$134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Variations'!$B$143:$E$143</c:f>
              <c:numCache>
                <c:formatCode>0.00E+00</c:formatCode>
                <c:ptCount val="4"/>
                <c:pt idx="0">
                  <c:v>-111000</c:v>
                </c:pt>
                <c:pt idx="1">
                  <c:v>-111000</c:v>
                </c:pt>
                <c:pt idx="2">
                  <c:v>-73600</c:v>
                </c:pt>
                <c:pt idx="3">
                  <c:v>-73600</c:v>
                </c:pt>
              </c:numCache>
            </c:numRef>
          </c:val>
        </c:ser>
        <c:ser>
          <c:idx val="9"/>
          <c:order val="9"/>
          <c:tx>
            <c:strRef>
              <c:f>'WAGR Recycling Variations'!$A$144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Variations'!$B$134:$E$134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Variations'!$B$144:$E$144</c:f>
              <c:numCache>
                <c:formatCode>0.00E+00</c:formatCode>
                <c:ptCount val="4"/>
                <c:pt idx="0">
                  <c:v>5244</c:v>
                </c:pt>
                <c:pt idx="1">
                  <c:v>5244</c:v>
                </c:pt>
                <c:pt idx="2">
                  <c:v>5252</c:v>
                </c:pt>
                <c:pt idx="3">
                  <c:v>5252</c:v>
                </c:pt>
              </c:numCache>
            </c:numRef>
          </c:val>
        </c:ser>
        <c:ser>
          <c:idx val="10"/>
          <c:order val="10"/>
          <c:tx>
            <c:strRef>
              <c:f>'WAGR Recycling Variations'!$A$145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Variations'!$B$134:$E$134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Variations'!$B$145:$E$145</c:f>
              <c:numCache>
                <c:formatCode>0.00E+00</c:formatCode>
                <c:ptCount val="4"/>
                <c:pt idx="0">
                  <c:v>265.10000000000002</c:v>
                </c:pt>
                <c:pt idx="1">
                  <c:v>265.10000000000002</c:v>
                </c:pt>
                <c:pt idx="2">
                  <c:v>320.7</c:v>
                </c:pt>
                <c:pt idx="3">
                  <c:v>320.7</c:v>
                </c:pt>
              </c:numCache>
            </c:numRef>
          </c:val>
        </c:ser>
        <c:ser>
          <c:idx val="11"/>
          <c:order val="11"/>
          <c:tx>
            <c:strRef>
              <c:f>'WAGR Recycling Variations'!$A$146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Variations'!$B$134:$E$134</c:f>
              <c:strCache>
                <c:ptCount val="4"/>
                <c:pt idx="0">
                  <c:v>Pig Iron Case</c:v>
                </c:pt>
                <c:pt idx="1">
                  <c:v>Pig Iron Case x2 Melting</c:v>
                </c:pt>
                <c:pt idx="2">
                  <c:v>Final Ref Case</c:v>
                </c:pt>
                <c:pt idx="3">
                  <c:v>Final Ref Case x2 Melting</c:v>
                </c:pt>
              </c:strCache>
            </c:strRef>
          </c:cat>
          <c:val>
            <c:numRef>
              <c:f>'WAGR Recycling Variations'!$B$146:$E$146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overlap val="100"/>
        <c:axId val="62715008"/>
        <c:axId val="62716928"/>
      </c:barChart>
      <c:catAx>
        <c:axId val="62715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Containerised Recycling Avoided Metals and Electrical Load</a:t>
                </a:r>
              </a:p>
            </c:rich>
          </c:tx>
          <c:layout>
            <c:manualLayout>
              <c:xMode val="edge"/>
              <c:yMode val="edge"/>
              <c:x val="0.33781196625545368"/>
              <c:y val="0.89121463983668703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716928"/>
        <c:crosses val="autoZero"/>
        <c:auto val="1"/>
        <c:lblAlgn val="ctr"/>
        <c:lblOffset val="100"/>
        <c:tickLblSkip val="1"/>
        <c:tickMarkSkip val="1"/>
      </c:catAx>
      <c:valAx>
        <c:axId val="627169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4951938668292494E-2"/>
              <c:y val="0.33472878390201222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71500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428352511995881"/>
          <c:y val="5.2924791086350974E-2"/>
          <c:w val="0.6573316655069642"/>
          <c:h val="0.1699164345403899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0188989678256"/>
          <c:y val="0.16908232502349999"/>
          <c:w val="0.87901660755451017"/>
          <c:h val="0.65700560580560008"/>
        </c:manualLayout>
      </c:layout>
      <c:barChart>
        <c:barDir val="col"/>
        <c:grouping val="clustered"/>
        <c:ser>
          <c:idx val="0"/>
          <c:order val="0"/>
          <c:tx>
            <c:strRef>
              <c:f>'WAGR Recycling Variations'!$B$150</c:f>
              <c:strCache>
                <c:ptCount val="1"/>
                <c:pt idx="0">
                  <c:v>Pig Iron Case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Variations'!$A$151:$A$161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Variations'!$B$151:$B$161</c:f>
              <c:numCache>
                <c:formatCode>0.00</c:formatCode>
                <c:ptCount val="11"/>
                <c:pt idx="0">
                  <c:v>-0.78600000000000003</c:v>
                </c:pt>
                <c:pt idx="1">
                  <c:v>-2.81E-2</c:v>
                </c:pt>
                <c:pt idx="2">
                  <c:v>-175</c:v>
                </c:pt>
                <c:pt idx="3">
                  <c:v>-20.5</c:v>
                </c:pt>
                <c:pt idx="4">
                  <c:v>0.248</c:v>
                </c:pt>
                <c:pt idx="5">
                  <c:v>3.77E-4</c:v>
                </c:pt>
                <c:pt idx="6">
                  <c:v>-0.38700000000000001</c:v>
                </c:pt>
                <c:pt idx="7">
                  <c:v>-1.73</c:v>
                </c:pt>
                <c:pt idx="8">
                  <c:v>-1.1499999999999999</c:v>
                </c:pt>
                <c:pt idx="9">
                  <c:v>-2.67</c:v>
                </c:pt>
                <c:pt idx="10">
                  <c:v>-20.3</c:v>
                </c:pt>
              </c:numCache>
            </c:numRef>
          </c:val>
        </c:ser>
        <c:ser>
          <c:idx val="1"/>
          <c:order val="1"/>
          <c:tx>
            <c:strRef>
              <c:f>'WAGR Recycling Variations'!$C$150</c:f>
              <c:strCache>
                <c:ptCount val="1"/>
                <c:pt idx="0">
                  <c:v>Pig Iron Case x2 Melting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Variations'!$A$151:$A$161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Variations'!$C$151:$C$161</c:f>
              <c:numCache>
                <c:formatCode>0.00</c:formatCode>
                <c:ptCount val="11"/>
                <c:pt idx="0">
                  <c:v>-0.14399999999999999</c:v>
                </c:pt>
                <c:pt idx="1">
                  <c:v>-2.58E-2</c:v>
                </c:pt>
                <c:pt idx="2">
                  <c:v>-168</c:v>
                </c:pt>
                <c:pt idx="3">
                  <c:v>-19.399999999999999</c:v>
                </c:pt>
                <c:pt idx="4">
                  <c:v>0.48899999999999999</c:v>
                </c:pt>
                <c:pt idx="5">
                  <c:v>1.09E-3</c:v>
                </c:pt>
                <c:pt idx="6">
                  <c:v>-9.6299999999999997E-2</c:v>
                </c:pt>
                <c:pt idx="7">
                  <c:v>-1.59</c:v>
                </c:pt>
                <c:pt idx="8">
                  <c:v>-0.91400000000000003</c:v>
                </c:pt>
                <c:pt idx="9">
                  <c:v>-2.4</c:v>
                </c:pt>
                <c:pt idx="10">
                  <c:v>-16.5</c:v>
                </c:pt>
              </c:numCache>
            </c:numRef>
          </c:val>
        </c:ser>
        <c:ser>
          <c:idx val="2"/>
          <c:order val="2"/>
          <c:tx>
            <c:strRef>
              <c:f>'WAGR Recycling Variations'!$D$150</c:f>
              <c:strCache>
                <c:ptCount val="1"/>
                <c:pt idx="0">
                  <c:v>Final Ref Case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Variations'!$A$151:$A$161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Variations'!$D$151:$D$161</c:f>
              <c:numCache>
                <c:formatCode>0.00</c:formatCode>
                <c:ptCount val="11"/>
                <c:pt idx="0">
                  <c:v>21.9</c:v>
                </c:pt>
                <c:pt idx="1">
                  <c:v>4.1599999999999996E-3</c:v>
                </c:pt>
                <c:pt idx="2">
                  <c:v>-130</c:v>
                </c:pt>
                <c:pt idx="3">
                  <c:v>-14.6</c:v>
                </c:pt>
                <c:pt idx="4">
                  <c:v>0.35399999999999998</c:v>
                </c:pt>
                <c:pt idx="5">
                  <c:v>2.8600000000000001E-3</c:v>
                </c:pt>
                <c:pt idx="6">
                  <c:v>10.3</c:v>
                </c:pt>
                <c:pt idx="7">
                  <c:v>-0.67300000000000004</c:v>
                </c:pt>
                <c:pt idx="8">
                  <c:v>-0.26300000000000001</c:v>
                </c:pt>
                <c:pt idx="9">
                  <c:v>-24.8</c:v>
                </c:pt>
                <c:pt idx="10">
                  <c:v>24.7</c:v>
                </c:pt>
              </c:numCache>
            </c:numRef>
          </c:val>
        </c:ser>
        <c:ser>
          <c:idx val="3"/>
          <c:order val="3"/>
          <c:tx>
            <c:strRef>
              <c:f>'WAGR Recycling Variations'!$E$150</c:f>
              <c:strCache>
                <c:ptCount val="1"/>
                <c:pt idx="0">
                  <c:v>Final Ref Case x2 Melting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Variations'!$A$151:$A$161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Variations'!$E$151:$E$161</c:f>
              <c:numCache>
                <c:formatCode>0.00</c:formatCode>
                <c:ptCount val="11"/>
                <c:pt idx="0">
                  <c:v>22.5</c:v>
                </c:pt>
                <c:pt idx="1">
                  <c:v>6.4999999999999997E-3</c:v>
                </c:pt>
                <c:pt idx="2">
                  <c:v>-124</c:v>
                </c:pt>
                <c:pt idx="3">
                  <c:v>-13.5</c:v>
                </c:pt>
                <c:pt idx="4">
                  <c:v>0.59499999999999997</c:v>
                </c:pt>
                <c:pt idx="5">
                  <c:v>3.5699999999999998E-3</c:v>
                </c:pt>
                <c:pt idx="6">
                  <c:v>10.6</c:v>
                </c:pt>
                <c:pt idx="7">
                  <c:v>-0.53300000000000003</c:v>
                </c:pt>
                <c:pt idx="8">
                  <c:v>-3.0800000000000001E-2</c:v>
                </c:pt>
                <c:pt idx="9">
                  <c:v>-24.5</c:v>
                </c:pt>
                <c:pt idx="10">
                  <c:v>28.5</c:v>
                </c:pt>
              </c:numCache>
            </c:numRef>
          </c:val>
        </c:ser>
        <c:axId val="62768256"/>
        <c:axId val="62770176"/>
      </c:barChart>
      <c:catAx>
        <c:axId val="627682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Containerised Recycling Impact Category</a:t>
                </a:r>
              </a:p>
            </c:rich>
          </c:tx>
          <c:layout>
            <c:manualLayout>
              <c:xMode val="edge"/>
              <c:yMode val="edge"/>
              <c:x val="0.39503781599668458"/>
              <c:y val="0.874397422730185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770176"/>
        <c:crosses val="autoZero"/>
        <c:auto val="1"/>
        <c:lblAlgn val="ctr"/>
        <c:lblOffset val="100"/>
        <c:tickLblSkip val="1"/>
        <c:tickMarkSkip val="1"/>
      </c:catAx>
      <c:valAx>
        <c:axId val="627701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4809193258737393E-2"/>
              <c:y val="0.33333368446001105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76825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243851230960433"/>
          <c:y val="0.20066889632107024"/>
          <c:w val="0.35584872117670246"/>
          <c:h val="6.688963210702340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931807147580101"/>
          <c:y val="0.167463821401517"/>
          <c:w val="0.86174162732522919"/>
          <c:h val="0.66028592438312217"/>
        </c:manualLayout>
      </c:layout>
      <c:barChart>
        <c:barDir val="col"/>
        <c:grouping val="clustered"/>
        <c:ser>
          <c:idx val="0"/>
          <c:order val="0"/>
          <c:tx>
            <c:strRef>
              <c:f>'WAGR Recycling Variations'!$B$163</c:f>
              <c:strCache>
                <c:ptCount val="1"/>
                <c:pt idx="0">
                  <c:v>Pig Iron Case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Variations'!$A$164:$A$174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Variations'!$B$164:$B$174</c:f>
              <c:numCache>
                <c:formatCode>General</c:formatCode>
                <c:ptCount val="11"/>
                <c:pt idx="0" formatCode="0.00E+00">
                  <c:v>-314</c:v>
                </c:pt>
                <c:pt idx="1">
                  <c:v>-11.2</c:v>
                </c:pt>
                <c:pt idx="2" formatCode="0.00E+00">
                  <c:v>-70100</c:v>
                </c:pt>
                <c:pt idx="3" formatCode="0.00E+00">
                  <c:v>-8210</c:v>
                </c:pt>
                <c:pt idx="4" formatCode="0.00E+00">
                  <c:v>99</c:v>
                </c:pt>
                <c:pt idx="5">
                  <c:v>0.151</c:v>
                </c:pt>
                <c:pt idx="6" formatCode="0.00E+00">
                  <c:v>-155</c:v>
                </c:pt>
                <c:pt idx="7" formatCode="0.00E+00">
                  <c:v>-691</c:v>
                </c:pt>
                <c:pt idx="8" formatCode="0.00E+00">
                  <c:v>-459</c:v>
                </c:pt>
                <c:pt idx="9" formatCode="0.00E+00">
                  <c:v>-533</c:v>
                </c:pt>
                <c:pt idx="10" formatCode="0.00E+00">
                  <c:v>-4060</c:v>
                </c:pt>
              </c:numCache>
            </c:numRef>
          </c:val>
        </c:ser>
        <c:ser>
          <c:idx val="1"/>
          <c:order val="1"/>
          <c:tx>
            <c:strRef>
              <c:f>'WAGR Recycling Variations'!$C$163</c:f>
              <c:strCache>
                <c:ptCount val="1"/>
                <c:pt idx="0">
                  <c:v>Pig Iron Case x2 Melting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Variations'!$A$164:$A$174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Variations'!$C$164:$C$174</c:f>
              <c:numCache>
                <c:formatCode>General</c:formatCode>
                <c:ptCount val="11"/>
                <c:pt idx="0" formatCode="0.00E+00">
                  <c:v>-57.7</c:v>
                </c:pt>
                <c:pt idx="1">
                  <c:v>-10.3</c:v>
                </c:pt>
                <c:pt idx="2" formatCode="0.00E+00">
                  <c:v>-67400</c:v>
                </c:pt>
                <c:pt idx="3" formatCode="0.00E+00">
                  <c:v>-7770</c:v>
                </c:pt>
                <c:pt idx="4" formatCode="0.00E+00">
                  <c:v>196</c:v>
                </c:pt>
                <c:pt idx="5" formatCode="0.00E+00">
                  <c:v>0.437</c:v>
                </c:pt>
                <c:pt idx="6">
                  <c:v>-38.5</c:v>
                </c:pt>
                <c:pt idx="7" formatCode="0.00E+00">
                  <c:v>-635</c:v>
                </c:pt>
                <c:pt idx="8" formatCode="0.00E+00">
                  <c:v>-366</c:v>
                </c:pt>
                <c:pt idx="9" formatCode="0.00E+00">
                  <c:v>-479</c:v>
                </c:pt>
                <c:pt idx="10" formatCode="0.00E+00">
                  <c:v>-3300</c:v>
                </c:pt>
              </c:numCache>
            </c:numRef>
          </c:val>
        </c:ser>
        <c:ser>
          <c:idx val="2"/>
          <c:order val="2"/>
          <c:tx>
            <c:strRef>
              <c:f>'WAGR Recycling Variations'!$D$163</c:f>
              <c:strCache>
                <c:ptCount val="1"/>
                <c:pt idx="0">
                  <c:v>Final Ref Case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Variations'!$A$164:$A$174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Variations'!$D$164:$D$174</c:f>
              <c:numCache>
                <c:formatCode>General</c:formatCode>
                <c:ptCount val="11"/>
                <c:pt idx="0" formatCode="0.00E+00">
                  <c:v>8740</c:v>
                </c:pt>
                <c:pt idx="1">
                  <c:v>1.66</c:v>
                </c:pt>
                <c:pt idx="2" formatCode="0.00E+00">
                  <c:v>-52200</c:v>
                </c:pt>
                <c:pt idx="3" formatCode="0.00E+00">
                  <c:v>-5830</c:v>
                </c:pt>
                <c:pt idx="4" formatCode="0.00E+00">
                  <c:v>142</c:v>
                </c:pt>
                <c:pt idx="5">
                  <c:v>1.1399999999999999</c:v>
                </c:pt>
                <c:pt idx="6" formatCode="0.00E+00">
                  <c:v>4110</c:v>
                </c:pt>
                <c:pt idx="7" formatCode="0.00E+00">
                  <c:v>-269</c:v>
                </c:pt>
                <c:pt idx="8" formatCode="0.00E+00">
                  <c:v>-105</c:v>
                </c:pt>
                <c:pt idx="9" formatCode="0.00E+00">
                  <c:v>-4960</c:v>
                </c:pt>
                <c:pt idx="10" formatCode="0.00E+00">
                  <c:v>4940</c:v>
                </c:pt>
              </c:numCache>
            </c:numRef>
          </c:val>
        </c:ser>
        <c:ser>
          <c:idx val="3"/>
          <c:order val="3"/>
          <c:tx>
            <c:strRef>
              <c:f>'WAGR Recycling Variations'!$E$163</c:f>
              <c:strCache>
                <c:ptCount val="1"/>
                <c:pt idx="0">
                  <c:v>Final Ref Case x2 Melting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Variations'!$A$164:$A$174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Variations'!$E$164:$E$174</c:f>
              <c:numCache>
                <c:formatCode>General</c:formatCode>
                <c:ptCount val="11"/>
                <c:pt idx="0" formatCode="0.00E+00">
                  <c:v>9000</c:v>
                </c:pt>
                <c:pt idx="1">
                  <c:v>2.6</c:v>
                </c:pt>
                <c:pt idx="2" formatCode="0.00E+00">
                  <c:v>-49500</c:v>
                </c:pt>
                <c:pt idx="3" formatCode="0.00E+00">
                  <c:v>-5390</c:v>
                </c:pt>
                <c:pt idx="4" formatCode="0.00E+00">
                  <c:v>238</c:v>
                </c:pt>
                <c:pt idx="5" formatCode="0.00E+00">
                  <c:v>1.43</c:v>
                </c:pt>
                <c:pt idx="6" formatCode="0.00E+00">
                  <c:v>4230</c:v>
                </c:pt>
                <c:pt idx="7" formatCode="0.00E+00">
                  <c:v>-213</c:v>
                </c:pt>
                <c:pt idx="8" formatCode="0.00E+00">
                  <c:v>-12.3</c:v>
                </c:pt>
                <c:pt idx="9" formatCode="0.00E+00">
                  <c:v>-4900</c:v>
                </c:pt>
                <c:pt idx="10" formatCode="0.00E+00">
                  <c:v>5690</c:v>
                </c:pt>
              </c:numCache>
            </c:numRef>
          </c:val>
        </c:ser>
        <c:axId val="62817408"/>
        <c:axId val="62819328"/>
      </c:barChart>
      <c:catAx>
        <c:axId val="628174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Containerised Recycling Impact Category</a:t>
                </a:r>
              </a:p>
            </c:rich>
          </c:tx>
          <c:layout>
            <c:manualLayout>
              <c:xMode val="edge"/>
              <c:yMode val="edge"/>
              <c:x val="0.40535415944132597"/>
              <c:y val="0.8755964610383966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819328"/>
        <c:crosses val="autoZero"/>
        <c:auto val="1"/>
        <c:lblAlgn val="ctr"/>
        <c:lblOffset val="100"/>
        <c:tickLblSkip val="1"/>
        <c:tickMarkSkip val="1"/>
      </c:catAx>
      <c:valAx>
        <c:axId val="628193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4856370930795152E-2"/>
              <c:y val="0.25358815247431821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81740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885993485342022"/>
          <c:y val="3.3222645255796525E-2"/>
          <c:w val="0.36970684039087948"/>
          <c:h val="6.6445290511593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0155010334574"/>
          <c:y val="0.236453628531552"/>
          <c:w val="0.85852692868090996"/>
          <c:h val="0.52709454693491697"/>
        </c:manualLayout>
      </c:layout>
      <c:barChart>
        <c:barDir val="col"/>
        <c:grouping val="stacked"/>
        <c:ser>
          <c:idx val="0"/>
          <c:order val="0"/>
          <c:tx>
            <c:strRef>
              <c:f>'WAGR Recycling Variations'!$A$179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Variations'!$B$178:$E$178</c:f>
              <c:strCache>
                <c:ptCount val="4"/>
                <c:pt idx="0">
                  <c:v>35 HHISO Ref Case</c:v>
                </c:pt>
                <c:pt idx="1">
                  <c:v>35 HHISO, 4x Size Reduction</c:v>
                </c:pt>
                <c:pt idx="2">
                  <c:v>48 HHISO Ref Case</c:v>
                </c:pt>
                <c:pt idx="3">
                  <c:v>48 HHISO, 4x Size Reduction</c:v>
                </c:pt>
              </c:strCache>
            </c:strRef>
          </c:cat>
          <c:val>
            <c:numRef>
              <c:f>'WAGR Recycling Variations'!$B$179:$E$179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Recycling Variations'!$A$180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Variations'!$B$178:$E$178</c:f>
              <c:strCache>
                <c:ptCount val="4"/>
                <c:pt idx="0">
                  <c:v>35 HHISO Ref Case</c:v>
                </c:pt>
                <c:pt idx="1">
                  <c:v>35 HHISO, 4x Size Reduction</c:v>
                </c:pt>
                <c:pt idx="2">
                  <c:v>48 HHISO Ref Case</c:v>
                </c:pt>
                <c:pt idx="3">
                  <c:v>48 HHISO, 4x Size Reduction</c:v>
                </c:pt>
              </c:strCache>
            </c:strRef>
          </c:cat>
          <c:val>
            <c:numRef>
              <c:f>'WAGR Recycling Variations'!$B$180:$E$180</c:f>
              <c:numCache>
                <c:formatCode>0.00E+00</c:formatCode>
                <c:ptCount val="4"/>
                <c:pt idx="0">
                  <c:v>17600</c:v>
                </c:pt>
                <c:pt idx="1">
                  <c:v>17600</c:v>
                </c:pt>
                <c:pt idx="2">
                  <c:v>24100</c:v>
                </c:pt>
                <c:pt idx="3">
                  <c:v>24100</c:v>
                </c:pt>
              </c:numCache>
            </c:numRef>
          </c:val>
        </c:ser>
        <c:ser>
          <c:idx val="2"/>
          <c:order val="2"/>
          <c:tx>
            <c:strRef>
              <c:f>'WAGR Recycling Variations'!$A$181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Variations'!$B$178:$E$178</c:f>
              <c:strCache>
                <c:ptCount val="4"/>
                <c:pt idx="0">
                  <c:v>35 HHISO Ref Case</c:v>
                </c:pt>
                <c:pt idx="1">
                  <c:v>35 HHISO, 4x Size Reduction</c:v>
                </c:pt>
                <c:pt idx="2">
                  <c:v>48 HHISO Ref Case</c:v>
                </c:pt>
                <c:pt idx="3">
                  <c:v>48 HHISO, 4x Size Reduction</c:v>
                </c:pt>
              </c:strCache>
            </c:strRef>
          </c:cat>
          <c:val>
            <c:numRef>
              <c:f>'WAGR Recycling Variations'!$B$181:$E$181</c:f>
              <c:numCache>
                <c:formatCode>0.00E+00</c:formatCode>
                <c:ptCount val="4"/>
                <c:pt idx="0">
                  <c:v>1760</c:v>
                </c:pt>
                <c:pt idx="1">
                  <c:v>1760</c:v>
                </c:pt>
                <c:pt idx="2">
                  <c:v>22100</c:v>
                </c:pt>
                <c:pt idx="3">
                  <c:v>22100</c:v>
                </c:pt>
              </c:numCache>
            </c:numRef>
          </c:val>
        </c:ser>
        <c:ser>
          <c:idx val="3"/>
          <c:order val="3"/>
          <c:tx>
            <c:strRef>
              <c:f>'WAGR Recycling Variations'!$A$182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Variations'!$B$178:$E$178</c:f>
              <c:strCache>
                <c:ptCount val="4"/>
                <c:pt idx="0">
                  <c:v>35 HHISO Ref Case</c:v>
                </c:pt>
                <c:pt idx="1">
                  <c:v>35 HHISO, 4x Size Reduction</c:v>
                </c:pt>
                <c:pt idx="2">
                  <c:v>48 HHISO Ref Case</c:v>
                </c:pt>
                <c:pt idx="3">
                  <c:v>48 HHISO, 4x Size Reduction</c:v>
                </c:pt>
              </c:strCache>
            </c:strRef>
          </c:cat>
          <c:val>
            <c:numRef>
              <c:f>'WAGR Recycling Variations'!$B$182:$E$182</c:f>
              <c:numCache>
                <c:formatCode>0.00E+00</c:formatCode>
                <c:ptCount val="4"/>
                <c:pt idx="0">
                  <c:v>80.62</c:v>
                </c:pt>
                <c:pt idx="1">
                  <c:v>80.62</c:v>
                </c:pt>
                <c:pt idx="2">
                  <c:v>87.2</c:v>
                </c:pt>
                <c:pt idx="3">
                  <c:v>87.2</c:v>
                </c:pt>
              </c:numCache>
            </c:numRef>
          </c:val>
        </c:ser>
        <c:ser>
          <c:idx val="4"/>
          <c:order val="4"/>
          <c:tx>
            <c:strRef>
              <c:f>'WAGR Recycling Variations'!$A$183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Variations'!$B$178:$E$178</c:f>
              <c:strCache>
                <c:ptCount val="4"/>
                <c:pt idx="0">
                  <c:v>35 HHISO Ref Case</c:v>
                </c:pt>
                <c:pt idx="1">
                  <c:v>35 HHISO, 4x Size Reduction</c:v>
                </c:pt>
                <c:pt idx="2">
                  <c:v>48 HHISO Ref Case</c:v>
                </c:pt>
                <c:pt idx="3">
                  <c:v>48 HHISO, 4x Size Reduction</c:v>
                </c:pt>
              </c:strCache>
            </c:strRef>
          </c:cat>
          <c:val>
            <c:numRef>
              <c:f>'WAGR Recycling Variations'!$B$183:$E$183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'WAGR Recycling Variations'!$A$184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Variations'!$B$178:$E$178</c:f>
              <c:strCache>
                <c:ptCount val="4"/>
                <c:pt idx="0">
                  <c:v>35 HHISO Ref Case</c:v>
                </c:pt>
                <c:pt idx="1">
                  <c:v>35 HHISO, 4x Size Reduction</c:v>
                </c:pt>
                <c:pt idx="2">
                  <c:v>48 HHISO Ref Case</c:v>
                </c:pt>
                <c:pt idx="3">
                  <c:v>48 HHISO, 4x Size Reduction</c:v>
                </c:pt>
              </c:strCache>
            </c:strRef>
          </c:cat>
          <c:val>
            <c:numRef>
              <c:f>'WAGR Recycling Variations'!$B$184:$E$184</c:f>
              <c:numCache>
                <c:formatCode>0.00E+00</c:formatCode>
                <c:ptCount val="4"/>
                <c:pt idx="0">
                  <c:v>3234</c:v>
                </c:pt>
                <c:pt idx="1">
                  <c:v>11040</c:v>
                </c:pt>
                <c:pt idx="2">
                  <c:v>3234</c:v>
                </c:pt>
                <c:pt idx="3">
                  <c:v>11040</c:v>
                </c:pt>
              </c:numCache>
            </c:numRef>
          </c:val>
        </c:ser>
        <c:ser>
          <c:idx val="6"/>
          <c:order val="6"/>
          <c:tx>
            <c:strRef>
              <c:f>'WAGR Recycling Variations'!$A$185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Variations'!$B$178:$E$178</c:f>
              <c:strCache>
                <c:ptCount val="4"/>
                <c:pt idx="0">
                  <c:v>35 HHISO Ref Case</c:v>
                </c:pt>
                <c:pt idx="1">
                  <c:v>35 HHISO, 4x Size Reduction</c:v>
                </c:pt>
                <c:pt idx="2">
                  <c:v>48 HHISO Ref Case</c:v>
                </c:pt>
                <c:pt idx="3">
                  <c:v>48 HHISO, 4x Size Reduction</c:v>
                </c:pt>
              </c:strCache>
            </c:strRef>
          </c:cat>
          <c:val>
            <c:numRef>
              <c:f>'WAGR Recycling Variations'!$B$185:$E$185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7"/>
          <c:order val="7"/>
          <c:tx>
            <c:strRef>
              <c:f>'WAGR Recycling Variations'!$A$186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Variations'!$B$178:$E$178</c:f>
              <c:strCache>
                <c:ptCount val="4"/>
                <c:pt idx="0">
                  <c:v>35 HHISO Ref Case</c:v>
                </c:pt>
                <c:pt idx="1">
                  <c:v>35 HHISO, 4x Size Reduction</c:v>
                </c:pt>
                <c:pt idx="2">
                  <c:v>48 HHISO Ref Case</c:v>
                </c:pt>
                <c:pt idx="3">
                  <c:v>48 HHISO, 4x Size Reduction</c:v>
                </c:pt>
              </c:strCache>
            </c:strRef>
          </c:cat>
          <c:val>
            <c:numRef>
              <c:f>'WAGR Recycling Variations'!$B$186:$E$186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8"/>
          <c:order val="8"/>
          <c:tx>
            <c:strRef>
              <c:f>'WAGR Recycling Variations'!$A$187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Variations'!$B$178:$E$178</c:f>
              <c:strCache>
                <c:ptCount val="4"/>
                <c:pt idx="0">
                  <c:v>35 HHISO Ref Case</c:v>
                </c:pt>
                <c:pt idx="1">
                  <c:v>35 HHISO, 4x Size Reduction</c:v>
                </c:pt>
                <c:pt idx="2">
                  <c:v>48 HHISO Ref Case</c:v>
                </c:pt>
                <c:pt idx="3">
                  <c:v>48 HHISO, 4x Size Reduction</c:v>
                </c:pt>
              </c:strCache>
            </c:strRef>
          </c:cat>
          <c:val>
            <c:numRef>
              <c:f>'WAGR Recycling Variations'!$B$187:$E$187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9"/>
          <c:order val="9"/>
          <c:tx>
            <c:strRef>
              <c:f>'WAGR Recycling Variations'!$A$188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Variations'!$B$178:$E$178</c:f>
              <c:strCache>
                <c:ptCount val="4"/>
                <c:pt idx="0">
                  <c:v>35 HHISO Ref Case</c:v>
                </c:pt>
                <c:pt idx="1">
                  <c:v>35 HHISO, 4x Size Reduction</c:v>
                </c:pt>
                <c:pt idx="2">
                  <c:v>48 HHISO Ref Case</c:v>
                </c:pt>
                <c:pt idx="3">
                  <c:v>48 HHISO, 4x Size Reduction</c:v>
                </c:pt>
              </c:strCache>
            </c:strRef>
          </c:cat>
          <c:val>
            <c:numRef>
              <c:f>'WAGR Recycling Variations'!$B$188:$E$188</c:f>
              <c:numCache>
                <c:formatCode>0.00E+00</c:formatCode>
                <c:ptCount val="4"/>
                <c:pt idx="0">
                  <c:v>91800</c:v>
                </c:pt>
                <c:pt idx="1">
                  <c:v>91800</c:v>
                </c:pt>
                <c:pt idx="2">
                  <c:v>125500</c:v>
                </c:pt>
                <c:pt idx="3">
                  <c:v>125500</c:v>
                </c:pt>
              </c:numCache>
            </c:numRef>
          </c:val>
        </c:ser>
        <c:ser>
          <c:idx val="10"/>
          <c:order val="10"/>
          <c:tx>
            <c:strRef>
              <c:f>'WAGR Recycling Variations'!$A$189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Variations'!$B$178:$E$178</c:f>
              <c:strCache>
                <c:ptCount val="4"/>
                <c:pt idx="0">
                  <c:v>35 HHISO Ref Case</c:v>
                </c:pt>
                <c:pt idx="1">
                  <c:v>35 HHISO, 4x Size Reduction</c:v>
                </c:pt>
                <c:pt idx="2">
                  <c:v>48 HHISO Ref Case</c:v>
                </c:pt>
                <c:pt idx="3">
                  <c:v>48 HHISO, 4x Size Reduction</c:v>
                </c:pt>
              </c:strCache>
            </c:strRef>
          </c:cat>
          <c:val>
            <c:numRef>
              <c:f>'WAGR Recycling Variations'!$B$189:$E$189</c:f>
              <c:numCache>
                <c:formatCode>0.00E+00</c:formatCode>
                <c:ptCount val="4"/>
                <c:pt idx="0">
                  <c:v>2555</c:v>
                </c:pt>
                <c:pt idx="1">
                  <c:v>2555</c:v>
                </c:pt>
                <c:pt idx="2">
                  <c:v>4264</c:v>
                </c:pt>
                <c:pt idx="3">
                  <c:v>4264</c:v>
                </c:pt>
              </c:numCache>
            </c:numRef>
          </c:val>
        </c:ser>
        <c:ser>
          <c:idx val="11"/>
          <c:order val="11"/>
          <c:tx>
            <c:strRef>
              <c:f>'WAGR Recycling Variations'!$A$190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Variations'!$B$178:$E$178</c:f>
              <c:strCache>
                <c:ptCount val="4"/>
                <c:pt idx="0">
                  <c:v>35 HHISO Ref Case</c:v>
                </c:pt>
                <c:pt idx="1">
                  <c:v>35 HHISO, 4x Size Reduction</c:v>
                </c:pt>
                <c:pt idx="2">
                  <c:v>48 HHISO Ref Case</c:v>
                </c:pt>
                <c:pt idx="3">
                  <c:v>48 HHISO, 4x Size Reduction</c:v>
                </c:pt>
              </c:strCache>
            </c:strRef>
          </c:cat>
          <c:val>
            <c:numRef>
              <c:f>'WAGR Recycling Variations'!$B$190:$E$190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overlap val="100"/>
        <c:axId val="65015168"/>
        <c:axId val="65025536"/>
      </c:barChart>
      <c:catAx>
        <c:axId val="650151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Packaged Disposal HHISO and Size Reduction Variation</a:t>
                </a:r>
              </a:p>
            </c:rich>
          </c:tx>
          <c:layout>
            <c:manualLayout>
              <c:xMode val="edge"/>
              <c:yMode val="edge"/>
              <c:x val="0.34765623891608144"/>
              <c:y val="0.87192280576578407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025536"/>
        <c:crosses val="autoZero"/>
        <c:auto val="1"/>
        <c:lblAlgn val="ctr"/>
        <c:lblOffset val="100"/>
        <c:tickLblSkip val="1"/>
        <c:tickMarkSkip val="1"/>
      </c:catAx>
      <c:valAx>
        <c:axId val="650255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5390508618855074E-2"/>
              <c:y val="0.2216752032209566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01516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059246541955079"/>
          <c:y val="0.91558441558441561"/>
          <c:w val="0.66497571808857814"/>
          <c:h val="6.818181818181817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1167411280448"/>
          <c:y val="0.14583303663526104"/>
          <c:w val="0.87937826728389024"/>
          <c:h val="0.32916599697673105"/>
        </c:manualLayout>
      </c:layout>
      <c:barChart>
        <c:barDir val="col"/>
        <c:grouping val="clustered"/>
        <c:ser>
          <c:idx val="0"/>
          <c:order val="0"/>
          <c:tx>
            <c:strRef>
              <c:f>'WAGR Recycling Variations'!$B$194</c:f>
              <c:strCache>
                <c:ptCount val="1"/>
                <c:pt idx="0">
                  <c:v>35 HHISO Ref Case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Variations'!$A$195:$A$205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Variations'!$B$195:$B$205</c:f>
              <c:numCache>
                <c:formatCode>0.00</c:formatCode>
                <c:ptCount val="11"/>
                <c:pt idx="0">
                  <c:v>19.899999999999999</c:v>
                </c:pt>
                <c:pt idx="1">
                  <c:v>0.109</c:v>
                </c:pt>
                <c:pt idx="2">
                  <c:v>132</c:v>
                </c:pt>
                <c:pt idx="3">
                  <c:v>34.5</c:v>
                </c:pt>
                <c:pt idx="4">
                  <c:v>0.59</c:v>
                </c:pt>
                <c:pt idx="5">
                  <c:v>8.4899999999999993E-3</c:v>
                </c:pt>
                <c:pt idx="6">
                  <c:v>12.7</c:v>
                </c:pt>
                <c:pt idx="7">
                  <c:v>3.96</c:v>
                </c:pt>
                <c:pt idx="8">
                  <c:v>6.45</c:v>
                </c:pt>
                <c:pt idx="9">
                  <c:v>42.5</c:v>
                </c:pt>
                <c:pt idx="10">
                  <c:v>122</c:v>
                </c:pt>
              </c:numCache>
            </c:numRef>
          </c:val>
        </c:ser>
        <c:ser>
          <c:idx val="1"/>
          <c:order val="1"/>
          <c:tx>
            <c:strRef>
              <c:f>'WAGR Recycling Variations'!$C$194</c:f>
              <c:strCache>
                <c:ptCount val="1"/>
                <c:pt idx="0">
                  <c:v>35 HHISO, 4x Size Reduction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Variations'!$A$195:$A$205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Variations'!$C$195:$C$205</c:f>
              <c:numCache>
                <c:formatCode>0.00</c:formatCode>
                <c:ptCount val="11"/>
                <c:pt idx="0">
                  <c:v>20.9</c:v>
                </c:pt>
                <c:pt idx="1">
                  <c:v>0.113</c:v>
                </c:pt>
                <c:pt idx="2">
                  <c:v>140</c:v>
                </c:pt>
                <c:pt idx="3">
                  <c:v>36.799999999999997</c:v>
                </c:pt>
                <c:pt idx="4">
                  <c:v>0.63300000000000001</c:v>
                </c:pt>
                <c:pt idx="5">
                  <c:v>9.0600000000000003E-3</c:v>
                </c:pt>
                <c:pt idx="6">
                  <c:v>13.8</c:v>
                </c:pt>
                <c:pt idx="7">
                  <c:v>4.2</c:v>
                </c:pt>
                <c:pt idx="8">
                  <c:v>6.79</c:v>
                </c:pt>
                <c:pt idx="9">
                  <c:v>44.9</c:v>
                </c:pt>
                <c:pt idx="10">
                  <c:v>132</c:v>
                </c:pt>
              </c:numCache>
            </c:numRef>
          </c:val>
        </c:ser>
        <c:ser>
          <c:idx val="2"/>
          <c:order val="2"/>
          <c:tx>
            <c:strRef>
              <c:f>'WAGR Recycling Variations'!$D$194</c:f>
              <c:strCache>
                <c:ptCount val="1"/>
                <c:pt idx="0">
                  <c:v>48 HHISO Ref Case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Variations'!$A$195:$A$205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Variations'!$D$195:$D$205</c:f>
              <c:numCache>
                <c:formatCode>0.00</c:formatCode>
                <c:ptCount val="11"/>
                <c:pt idx="0">
                  <c:v>29.3</c:v>
                </c:pt>
                <c:pt idx="1">
                  <c:v>0.17</c:v>
                </c:pt>
                <c:pt idx="2">
                  <c:v>197</c:v>
                </c:pt>
                <c:pt idx="3">
                  <c:v>53.3</c:v>
                </c:pt>
                <c:pt idx="4">
                  <c:v>0.88600000000000001</c:v>
                </c:pt>
                <c:pt idx="5">
                  <c:v>1.3899999999999999E-2</c:v>
                </c:pt>
                <c:pt idx="6">
                  <c:v>20.2</c:v>
                </c:pt>
                <c:pt idx="7">
                  <c:v>5.95</c:v>
                </c:pt>
                <c:pt idx="8">
                  <c:v>9.7100000000000009</c:v>
                </c:pt>
                <c:pt idx="9">
                  <c:v>63.6</c:v>
                </c:pt>
                <c:pt idx="10">
                  <c:v>203</c:v>
                </c:pt>
              </c:numCache>
            </c:numRef>
          </c:val>
        </c:ser>
        <c:ser>
          <c:idx val="3"/>
          <c:order val="3"/>
          <c:tx>
            <c:strRef>
              <c:f>'WAGR Recycling Variations'!$E$194</c:f>
              <c:strCache>
                <c:ptCount val="1"/>
                <c:pt idx="0">
                  <c:v>48 HHISO, 4x Size Reduction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Variations'!$A$195:$A$205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Variations'!$E$195:$E$205</c:f>
              <c:numCache>
                <c:formatCode>0.00</c:formatCode>
                <c:ptCount val="11"/>
                <c:pt idx="0">
                  <c:v>30.2</c:v>
                </c:pt>
                <c:pt idx="1">
                  <c:v>0.17499999999999999</c:v>
                </c:pt>
                <c:pt idx="2">
                  <c:v>205</c:v>
                </c:pt>
                <c:pt idx="3">
                  <c:v>55.6</c:v>
                </c:pt>
                <c:pt idx="4">
                  <c:v>0.92900000000000005</c:v>
                </c:pt>
                <c:pt idx="5">
                  <c:v>1.4500000000000001E-2</c:v>
                </c:pt>
                <c:pt idx="6">
                  <c:v>21.3</c:v>
                </c:pt>
                <c:pt idx="7">
                  <c:v>6.19</c:v>
                </c:pt>
                <c:pt idx="8">
                  <c:v>10</c:v>
                </c:pt>
                <c:pt idx="9">
                  <c:v>66</c:v>
                </c:pt>
                <c:pt idx="10">
                  <c:v>213</c:v>
                </c:pt>
              </c:numCache>
            </c:numRef>
          </c:val>
        </c:ser>
        <c:axId val="65084800"/>
        <c:axId val="65095168"/>
      </c:barChart>
      <c:catAx>
        <c:axId val="650848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Packaged Disposal Impact Category</a:t>
                </a:r>
              </a:p>
            </c:rich>
          </c:tx>
          <c:layout>
            <c:manualLayout>
              <c:xMode val="edge"/>
              <c:yMode val="edge"/>
              <c:x val="0.39921693599429919"/>
              <c:y val="0.908713149986686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095168"/>
        <c:crosses val="autoZero"/>
        <c:auto val="1"/>
        <c:lblAlgn val="ctr"/>
        <c:lblOffset val="100"/>
        <c:tickLblSkip val="1"/>
        <c:tickMarkSkip val="1"/>
      </c:catAx>
      <c:valAx>
        <c:axId val="650951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5440285394342572E-2"/>
              <c:y val="0.16182555441439386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08480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646488725945533"/>
          <c:y val="2.0289912505413569E-2"/>
          <c:w val="0.65151622263688747"/>
          <c:h val="6.08697375162407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6213502483951"/>
          <c:y val="0.13709697663875897"/>
          <c:w val="0.85436832450674693"/>
          <c:h val="0.33064564954053699"/>
        </c:manualLayout>
      </c:layout>
      <c:barChart>
        <c:barDir val="col"/>
        <c:grouping val="clustered"/>
        <c:ser>
          <c:idx val="0"/>
          <c:order val="0"/>
          <c:tx>
            <c:strRef>
              <c:f>'WAGR Recycling Variations'!$B$207</c:f>
              <c:strCache>
                <c:ptCount val="1"/>
                <c:pt idx="0">
                  <c:v>35 HHISO Ref Case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Variations'!$A$208:$A$218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Variations'!$B$208:$B$218</c:f>
              <c:numCache>
                <c:formatCode>General</c:formatCode>
                <c:ptCount val="11"/>
                <c:pt idx="0" formatCode="0.00E+00">
                  <c:v>7950</c:v>
                </c:pt>
                <c:pt idx="1">
                  <c:v>43.5</c:v>
                </c:pt>
                <c:pt idx="2" formatCode="0.00E+00">
                  <c:v>52900</c:v>
                </c:pt>
                <c:pt idx="3" formatCode="0.00E+00">
                  <c:v>13800</c:v>
                </c:pt>
                <c:pt idx="4" formatCode="0.00E+00">
                  <c:v>236</c:v>
                </c:pt>
                <c:pt idx="5">
                  <c:v>3.4</c:v>
                </c:pt>
                <c:pt idx="6" formatCode="0.00E+00">
                  <c:v>5080</c:v>
                </c:pt>
                <c:pt idx="7" formatCode="0.00E+00">
                  <c:v>1590</c:v>
                </c:pt>
                <c:pt idx="8" formatCode="0.00E+00">
                  <c:v>2580</c:v>
                </c:pt>
                <c:pt idx="9" formatCode="0.00E+00">
                  <c:v>8500</c:v>
                </c:pt>
                <c:pt idx="10" formatCode="0.00E+00">
                  <c:v>24400</c:v>
                </c:pt>
              </c:numCache>
            </c:numRef>
          </c:val>
        </c:ser>
        <c:ser>
          <c:idx val="1"/>
          <c:order val="1"/>
          <c:tx>
            <c:strRef>
              <c:f>'WAGR Recycling Variations'!$C$207</c:f>
              <c:strCache>
                <c:ptCount val="1"/>
                <c:pt idx="0">
                  <c:v>35 HHISO, 4x Size Reduction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Variations'!$A$208:$A$218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Variations'!$C$208:$C$218</c:f>
              <c:numCache>
                <c:formatCode>General</c:formatCode>
                <c:ptCount val="11"/>
                <c:pt idx="0" formatCode="0.00E+00">
                  <c:v>8350</c:v>
                </c:pt>
                <c:pt idx="1">
                  <c:v>45.4</c:v>
                </c:pt>
                <c:pt idx="2" formatCode="0.00E+00">
                  <c:v>56100</c:v>
                </c:pt>
                <c:pt idx="3" formatCode="0.00E+00">
                  <c:v>14700</c:v>
                </c:pt>
                <c:pt idx="4" formatCode="0.00E+00">
                  <c:v>253</c:v>
                </c:pt>
                <c:pt idx="5" formatCode="0.00E+00">
                  <c:v>3.62</c:v>
                </c:pt>
                <c:pt idx="6" formatCode="0.00E+00">
                  <c:v>5520</c:v>
                </c:pt>
                <c:pt idx="7" formatCode="0.00E+00">
                  <c:v>1680</c:v>
                </c:pt>
                <c:pt idx="8" formatCode="0.00E+00">
                  <c:v>2720</c:v>
                </c:pt>
                <c:pt idx="9" formatCode="0.00E+00">
                  <c:v>8970</c:v>
                </c:pt>
                <c:pt idx="10" formatCode="0.00E+00">
                  <c:v>26400</c:v>
                </c:pt>
              </c:numCache>
            </c:numRef>
          </c:val>
        </c:ser>
        <c:ser>
          <c:idx val="2"/>
          <c:order val="2"/>
          <c:tx>
            <c:strRef>
              <c:f>'WAGR Recycling Variations'!$D$207</c:f>
              <c:strCache>
                <c:ptCount val="1"/>
                <c:pt idx="0">
                  <c:v>48 HHISO Ref Case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Variations'!$A$208:$A$218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Variations'!$D$208:$D$218</c:f>
              <c:numCache>
                <c:formatCode>General</c:formatCode>
                <c:ptCount val="11"/>
                <c:pt idx="0" formatCode="0.00E+00">
                  <c:v>11700</c:v>
                </c:pt>
                <c:pt idx="1">
                  <c:v>67.900000000000006</c:v>
                </c:pt>
                <c:pt idx="2" formatCode="0.00E+00">
                  <c:v>78600</c:v>
                </c:pt>
                <c:pt idx="3" formatCode="0.00E+00">
                  <c:v>21300</c:v>
                </c:pt>
                <c:pt idx="4" formatCode="0.00E+00">
                  <c:v>354</c:v>
                </c:pt>
                <c:pt idx="5">
                  <c:v>5.58</c:v>
                </c:pt>
                <c:pt idx="6" formatCode="0.00E+00">
                  <c:v>8090</c:v>
                </c:pt>
                <c:pt idx="7" formatCode="0.00E+00">
                  <c:v>2380</c:v>
                </c:pt>
                <c:pt idx="8" formatCode="0.00E+00">
                  <c:v>3880</c:v>
                </c:pt>
                <c:pt idx="9" formatCode="0.00E+00">
                  <c:v>12700</c:v>
                </c:pt>
                <c:pt idx="10" formatCode="0.00E+00">
                  <c:v>40600</c:v>
                </c:pt>
              </c:numCache>
            </c:numRef>
          </c:val>
        </c:ser>
        <c:ser>
          <c:idx val="3"/>
          <c:order val="3"/>
          <c:tx>
            <c:strRef>
              <c:f>'WAGR Recycling Variations'!$E$207</c:f>
              <c:strCache>
                <c:ptCount val="1"/>
                <c:pt idx="0">
                  <c:v>48 HHISO, 4x Size Reduction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Variations'!$A$208:$A$218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Variations'!$E$208:$E$218</c:f>
              <c:numCache>
                <c:formatCode>General</c:formatCode>
                <c:ptCount val="11"/>
                <c:pt idx="0" formatCode="0.00E+00">
                  <c:v>12100</c:v>
                </c:pt>
                <c:pt idx="1">
                  <c:v>69.8</c:v>
                </c:pt>
                <c:pt idx="2" formatCode="0.00E+00">
                  <c:v>81800</c:v>
                </c:pt>
                <c:pt idx="3" formatCode="0.00E+00">
                  <c:v>22200</c:v>
                </c:pt>
                <c:pt idx="4" formatCode="0.00E+00">
                  <c:v>372</c:v>
                </c:pt>
                <c:pt idx="5" formatCode="0.00E+00">
                  <c:v>5.8</c:v>
                </c:pt>
                <c:pt idx="6" formatCode="0.00E+00">
                  <c:v>8530</c:v>
                </c:pt>
                <c:pt idx="7" formatCode="0.00E+00">
                  <c:v>2470</c:v>
                </c:pt>
                <c:pt idx="8" formatCode="0.00E+00">
                  <c:v>4020</c:v>
                </c:pt>
                <c:pt idx="9" formatCode="0.00E+00">
                  <c:v>13200</c:v>
                </c:pt>
                <c:pt idx="10" formatCode="0.00E+00">
                  <c:v>42600</c:v>
                </c:pt>
              </c:numCache>
            </c:numRef>
          </c:val>
        </c:ser>
        <c:axId val="65133952"/>
        <c:axId val="65144320"/>
      </c:barChart>
      <c:catAx>
        <c:axId val="651339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Packaged Disposal Impact Category</a:t>
                </a:r>
              </a:p>
            </c:rich>
          </c:tx>
          <c:layout>
            <c:manualLayout>
              <c:xMode val="edge"/>
              <c:yMode val="edge"/>
              <c:x val="0.40704504218851839"/>
              <c:y val="0.891564436798341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144320"/>
        <c:crosses val="autoZero"/>
        <c:auto val="1"/>
        <c:lblAlgn val="ctr"/>
        <c:lblOffset val="100"/>
        <c:tickLblSkip val="1"/>
        <c:tickMarkSkip val="1"/>
      </c:catAx>
      <c:valAx>
        <c:axId val="651443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5440469270200286E-2"/>
              <c:y val="7.630516773638589E-2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13395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134228187919462"/>
          <c:y val="2.8011204481792718E-2"/>
          <c:w val="0.65100671140939592"/>
          <c:h val="5.88235294117647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UK radioactive Waste Inventory up to Aptil 2010</a:t>
            </a:r>
          </a:p>
        </c:rich>
      </c:tx>
      <c:layout>
        <c:manualLayout>
          <c:xMode val="edge"/>
          <c:yMode val="edge"/>
          <c:x val="0.2823987001624797"/>
          <c:y val="3.54838599720489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586392346061904E-2"/>
          <c:y val="0.17535555168581499"/>
          <c:w val="0.79649848039904403"/>
          <c:h val="0.60663542204822518"/>
        </c:manualLayout>
      </c:layout>
      <c:lineChart>
        <c:grouping val="standard"/>
        <c:ser>
          <c:idx val="0"/>
          <c:order val="0"/>
          <c:tx>
            <c:strRef>
              <c:f>'General metal graphs'!$A$117</c:f>
              <c:strCache>
                <c:ptCount val="1"/>
                <c:pt idx="0">
                  <c:v>LLW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'General metal graphs'!$B$116:$H$116</c:f>
              <c:numCache>
                <c:formatCode>General</c:formatCode>
                <c:ptCount val="7"/>
                <c:pt idx="0">
                  <c:v>1991</c:v>
                </c:pt>
                <c:pt idx="1">
                  <c:v>1994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</c:numCache>
            </c:numRef>
          </c:cat>
          <c:val>
            <c:numRef>
              <c:f>'General metal graphs'!$B$117:$H$117</c:f>
              <c:numCache>
                <c:formatCode>General</c:formatCode>
                <c:ptCount val="7"/>
                <c:pt idx="0">
                  <c:v>1.42</c:v>
                </c:pt>
                <c:pt idx="1">
                  <c:v>1.907</c:v>
                </c:pt>
                <c:pt idx="2">
                  <c:v>1.8620000000000001</c:v>
                </c:pt>
                <c:pt idx="3">
                  <c:v>1.508</c:v>
                </c:pt>
                <c:pt idx="4">
                  <c:v>2.06</c:v>
                </c:pt>
                <c:pt idx="5">
                  <c:v>3.19</c:v>
                </c:pt>
                <c:pt idx="6">
                  <c:v>4.43</c:v>
                </c:pt>
              </c:numCache>
            </c:numRef>
          </c:val>
        </c:ser>
        <c:ser>
          <c:idx val="1"/>
          <c:order val="1"/>
          <c:tx>
            <c:strRef>
              <c:f>'General metal graphs'!$A$118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'General metal graphs'!$B$116:$H$116</c:f>
              <c:numCache>
                <c:formatCode>General</c:formatCode>
                <c:ptCount val="7"/>
                <c:pt idx="0">
                  <c:v>1991</c:v>
                </c:pt>
                <c:pt idx="1">
                  <c:v>1994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</c:numCache>
            </c:numRef>
          </c:cat>
          <c:val>
            <c:numRef>
              <c:f>'General metal graphs'!$B$118:$H$118</c:f>
              <c:numCache>
                <c:formatCode>General</c:formatCode>
                <c:ptCount val="7"/>
                <c:pt idx="0">
                  <c:v>1.6359999999999999</c:v>
                </c:pt>
                <c:pt idx="1">
                  <c:v>2.1989999999999998</c:v>
                </c:pt>
                <c:pt idx="2">
                  <c:v>2.0779999999999998</c:v>
                </c:pt>
                <c:pt idx="3">
                  <c:v>1.7470000000000001</c:v>
                </c:pt>
                <c:pt idx="4">
                  <c:v>2.27</c:v>
                </c:pt>
                <c:pt idx="5">
                  <c:v>3.43</c:v>
                </c:pt>
                <c:pt idx="6">
                  <c:v>4.7</c:v>
                </c:pt>
              </c:numCache>
            </c:numRef>
          </c:val>
        </c:ser>
        <c:marker val="1"/>
        <c:axId val="52492544"/>
        <c:axId val="52568832"/>
      </c:lineChart>
      <c:catAx>
        <c:axId val="524925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5841429821272339"/>
              <c:y val="0.909678562906909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568832"/>
        <c:crosses val="autoZero"/>
        <c:auto val="1"/>
        <c:lblAlgn val="ctr"/>
        <c:lblOffset val="100"/>
        <c:tickLblSkip val="1"/>
        <c:tickMarkSkip val="1"/>
      </c:catAx>
      <c:valAx>
        <c:axId val="525688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Volume (million m3)</a:t>
                </a:r>
              </a:p>
            </c:rich>
          </c:tx>
          <c:layout>
            <c:manualLayout>
              <c:xMode val="edge"/>
              <c:yMode val="edge"/>
              <c:x val="3.0947931508561431E-2"/>
              <c:y val="0.3870975219006714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49254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811942962288295"/>
          <c:y val="0.43564356435643564"/>
          <c:w val="6.6079376375885457E-2"/>
          <c:h val="9.570957095709571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180755325591001"/>
          <c:y val="0.19892420897332602"/>
          <c:w val="0.85854678665859319"/>
          <c:h val="0.4838696975026841"/>
        </c:manualLayout>
      </c:layout>
      <c:barChart>
        <c:barDir val="col"/>
        <c:grouping val="stacked"/>
        <c:ser>
          <c:idx val="0"/>
          <c:order val="0"/>
          <c:tx>
            <c:strRef>
              <c:f>'WAGR Recycling Variations'!$A$223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Variations'!$B$222:$E$222</c:f>
              <c:strCache>
                <c:ptCount val="4"/>
                <c:pt idx="0">
                  <c:v>35 HHISO Ref Case</c:v>
                </c:pt>
                <c:pt idx="1">
                  <c:v>35 HHISO, 4x Decontamination</c:v>
                </c:pt>
                <c:pt idx="2">
                  <c:v>48 HHISO Ref Case</c:v>
                </c:pt>
                <c:pt idx="3">
                  <c:v>48 HHISO, 4x Decontamination</c:v>
                </c:pt>
              </c:strCache>
            </c:strRef>
          </c:cat>
          <c:val>
            <c:numRef>
              <c:f>'WAGR Recycling Variations'!$B$223:$E$223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Recycling Variations'!$A$224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Variations'!$B$222:$E$222</c:f>
              <c:strCache>
                <c:ptCount val="4"/>
                <c:pt idx="0">
                  <c:v>35 HHISO Ref Case</c:v>
                </c:pt>
                <c:pt idx="1">
                  <c:v>35 HHISO, 4x Decontamination</c:v>
                </c:pt>
                <c:pt idx="2">
                  <c:v>48 HHISO Ref Case</c:v>
                </c:pt>
                <c:pt idx="3">
                  <c:v>48 HHISO, 4x Decontamination</c:v>
                </c:pt>
              </c:strCache>
            </c:strRef>
          </c:cat>
          <c:val>
            <c:numRef>
              <c:f>'WAGR Recycling Variations'!$B$224:$E$224</c:f>
              <c:numCache>
                <c:formatCode>0.00E+00</c:formatCode>
                <c:ptCount val="4"/>
                <c:pt idx="0">
                  <c:v>17600</c:v>
                </c:pt>
                <c:pt idx="1">
                  <c:v>17600</c:v>
                </c:pt>
                <c:pt idx="2">
                  <c:v>24100</c:v>
                </c:pt>
                <c:pt idx="3">
                  <c:v>24100</c:v>
                </c:pt>
              </c:numCache>
            </c:numRef>
          </c:val>
        </c:ser>
        <c:ser>
          <c:idx val="2"/>
          <c:order val="2"/>
          <c:tx>
            <c:strRef>
              <c:f>'WAGR Recycling Variations'!$A$225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Variations'!$B$222:$E$222</c:f>
              <c:strCache>
                <c:ptCount val="4"/>
                <c:pt idx="0">
                  <c:v>35 HHISO Ref Case</c:v>
                </c:pt>
                <c:pt idx="1">
                  <c:v>35 HHISO, 4x Decontamination</c:v>
                </c:pt>
                <c:pt idx="2">
                  <c:v>48 HHISO Ref Case</c:v>
                </c:pt>
                <c:pt idx="3">
                  <c:v>48 HHISO, 4x Decontamination</c:v>
                </c:pt>
              </c:strCache>
            </c:strRef>
          </c:cat>
          <c:val>
            <c:numRef>
              <c:f>'WAGR Recycling Variations'!$B$225:$E$225</c:f>
              <c:numCache>
                <c:formatCode>0.00E+00</c:formatCode>
                <c:ptCount val="4"/>
                <c:pt idx="0">
                  <c:v>1760</c:v>
                </c:pt>
                <c:pt idx="1">
                  <c:v>1760</c:v>
                </c:pt>
                <c:pt idx="2">
                  <c:v>22100</c:v>
                </c:pt>
                <c:pt idx="3">
                  <c:v>22100</c:v>
                </c:pt>
              </c:numCache>
            </c:numRef>
          </c:val>
        </c:ser>
        <c:ser>
          <c:idx val="3"/>
          <c:order val="3"/>
          <c:tx>
            <c:strRef>
              <c:f>'WAGR Recycling Variations'!$A$226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Variations'!$B$222:$E$222</c:f>
              <c:strCache>
                <c:ptCount val="4"/>
                <c:pt idx="0">
                  <c:v>35 HHISO Ref Case</c:v>
                </c:pt>
                <c:pt idx="1">
                  <c:v>35 HHISO, 4x Decontamination</c:v>
                </c:pt>
                <c:pt idx="2">
                  <c:v>48 HHISO Ref Case</c:v>
                </c:pt>
                <c:pt idx="3">
                  <c:v>48 HHISO, 4x Decontamination</c:v>
                </c:pt>
              </c:strCache>
            </c:strRef>
          </c:cat>
          <c:val>
            <c:numRef>
              <c:f>'WAGR Recycling Variations'!$B$226:$E$226</c:f>
              <c:numCache>
                <c:formatCode>0.00E+00</c:formatCode>
                <c:ptCount val="4"/>
                <c:pt idx="0">
                  <c:v>80.62</c:v>
                </c:pt>
                <c:pt idx="1">
                  <c:v>80.62</c:v>
                </c:pt>
                <c:pt idx="2">
                  <c:v>87.2</c:v>
                </c:pt>
                <c:pt idx="3">
                  <c:v>87.2</c:v>
                </c:pt>
              </c:numCache>
            </c:numRef>
          </c:val>
        </c:ser>
        <c:ser>
          <c:idx val="4"/>
          <c:order val="4"/>
          <c:tx>
            <c:strRef>
              <c:f>'WAGR Recycling Variations'!$A$227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Variations'!$B$222:$E$222</c:f>
              <c:strCache>
                <c:ptCount val="4"/>
                <c:pt idx="0">
                  <c:v>35 HHISO Ref Case</c:v>
                </c:pt>
                <c:pt idx="1">
                  <c:v>35 HHISO, 4x Decontamination</c:v>
                </c:pt>
                <c:pt idx="2">
                  <c:v>48 HHISO Ref Case</c:v>
                </c:pt>
                <c:pt idx="3">
                  <c:v>48 HHISO, 4x Decontamination</c:v>
                </c:pt>
              </c:strCache>
            </c:strRef>
          </c:cat>
          <c:val>
            <c:numRef>
              <c:f>'WAGR Recycling Variations'!$B$227:$E$227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'WAGR Recycling Variations'!$A$228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Variations'!$B$222:$E$222</c:f>
              <c:strCache>
                <c:ptCount val="4"/>
                <c:pt idx="0">
                  <c:v>35 HHISO Ref Case</c:v>
                </c:pt>
                <c:pt idx="1">
                  <c:v>35 HHISO, 4x Decontamination</c:v>
                </c:pt>
                <c:pt idx="2">
                  <c:v>48 HHISO Ref Case</c:v>
                </c:pt>
                <c:pt idx="3">
                  <c:v>48 HHISO, 4x Decontamination</c:v>
                </c:pt>
              </c:strCache>
            </c:strRef>
          </c:cat>
          <c:val>
            <c:numRef>
              <c:f>'WAGR Recycling Variations'!$B$228:$E$228</c:f>
              <c:numCache>
                <c:formatCode>0.00E+00</c:formatCode>
                <c:ptCount val="4"/>
                <c:pt idx="0">
                  <c:v>3234</c:v>
                </c:pt>
                <c:pt idx="1">
                  <c:v>4830</c:v>
                </c:pt>
                <c:pt idx="2">
                  <c:v>3234</c:v>
                </c:pt>
                <c:pt idx="3">
                  <c:v>4830</c:v>
                </c:pt>
              </c:numCache>
            </c:numRef>
          </c:val>
        </c:ser>
        <c:ser>
          <c:idx val="6"/>
          <c:order val="6"/>
          <c:tx>
            <c:strRef>
              <c:f>'WAGR Recycling Variations'!$A$229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Variations'!$B$222:$E$222</c:f>
              <c:strCache>
                <c:ptCount val="4"/>
                <c:pt idx="0">
                  <c:v>35 HHISO Ref Case</c:v>
                </c:pt>
                <c:pt idx="1">
                  <c:v>35 HHISO, 4x Decontamination</c:v>
                </c:pt>
                <c:pt idx="2">
                  <c:v>48 HHISO Ref Case</c:v>
                </c:pt>
                <c:pt idx="3">
                  <c:v>48 HHISO, 4x Decontamination</c:v>
                </c:pt>
              </c:strCache>
            </c:strRef>
          </c:cat>
          <c:val>
            <c:numRef>
              <c:f>'WAGR Recycling Variations'!$B$229:$E$229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7"/>
          <c:order val="7"/>
          <c:tx>
            <c:strRef>
              <c:f>'WAGR Recycling Variations'!$A$230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Variations'!$B$222:$E$222</c:f>
              <c:strCache>
                <c:ptCount val="4"/>
                <c:pt idx="0">
                  <c:v>35 HHISO Ref Case</c:v>
                </c:pt>
                <c:pt idx="1">
                  <c:v>35 HHISO, 4x Decontamination</c:v>
                </c:pt>
                <c:pt idx="2">
                  <c:v>48 HHISO Ref Case</c:v>
                </c:pt>
                <c:pt idx="3">
                  <c:v>48 HHISO, 4x Decontamination</c:v>
                </c:pt>
              </c:strCache>
            </c:strRef>
          </c:cat>
          <c:val>
            <c:numRef>
              <c:f>'WAGR Recycling Variations'!$B$230:$E$230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8"/>
          <c:order val="8"/>
          <c:tx>
            <c:strRef>
              <c:f>'WAGR Recycling Variations'!$A$231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Variations'!$B$222:$E$222</c:f>
              <c:strCache>
                <c:ptCount val="4"/>
                <c:pt idx="0">
                  <c:v>35 HHISO Ref Case</c:v>
                </c:pt>
                <c:pt idx="1">
                  <c:v>35 HHISO, 4x Decontamination</c:v>
                </c:pt>
                <c:pt idx="2">
                  <c:v>48 HHISO Ref Case</c:v>
                </c:pt>
                <c:pt idx="3">
                  <c:v>48 HHISO, 4x Decontamination</c:v>
                </c:pt>
              </c:strCache>
            </c:strRef>
          </c:cat>
          <c:val>
            <c:numRef>
              <c:f>'WAGR Recycling Variations'!$B$231:$E$231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9"/>
          <c:order val="9"/>
          <c:tx>
            <c:strRef>
              <c:f>'WAGR Recycling Variations'!$A$232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Variations'!$B$222:$E$222</c:f>
              <c:strCache>
                <c:ptCount val="4"/>
                <c:pt idx="0">
                  <c:v>35 HHISO Ref Case</c:v>
                </c:pt>
                <c:pt idx="1">
                  <c:v>35 HHISO, 4x Decontamination</c:v>
                </c:pt>
                <c:pt idx="2">
                  <c:v>48 HHISO Ref Case</c:v>
                </c:pt>
                <c:pt idx="3">
                  <c:v>48 HHISO, 4x Decontamination</c:v>
                </c:pt>
              </c:strCache>
            </c:strRef>
          </c:cat>
          <c:val>
            <c:numRef>
              <c:f>'WAGR Recycling Variations'!$B$232:$E$232</c:f>
              <c:numCache>
                <c:formatCode>0.00E+00</c:formatCode>
                <c:ptCount val="4"/>
                <c:pt idx="0">
                  <c:v>91800</c:v>
                </c:pt>
                <c:pt idx="1">
                  <c:v>91800</c:v>
                </c:pt>
                <c:pt idx="2">
                  <c:v>125500</c:v>
                </c:pt>
                <c:pt idx="3">
                  <c:v>125500</c:v>
                </c:pt>
              </c:numCache>
            </c:numRef>
          </c:val>
        </c:ser>
        <c:ser>
          <c:idx val="10"/>
          <c:order val="10"/>
          <c:tx>
            <c:strRef>
              <c:f>'WAGR Recycling Variations'!$A$233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Variations'!$B$222:$E$222</c:f>
              <c:strCache>
                <c:ptCount val="4"/>
                <c:pt idx="0">
                  <c:v>35 HHISO Ref Case</c:v>
                </c:pt>
                <c:pt idx="1">
                  <c:v>35 HHISO, 4x Decontamination</c:v>
                </c:pt>
                <c:pt idx="2">
                  <c:v>48 HHISO Ref Case</c:v>
                </c:pt>
                <c:pt idx="3">
                  <c:v>48 HHISO, 4x Decontamination</c:v>
                </c:pt>
              </c:strCache>
            </c:strRef>
          </c:cat>
          <c:val>
            <c:numRef>
              <c:f>'WAGR Recycling Variations'!$B$233:$E$233</c:f>
              <c:numCache>
                <c:formatCode>0.00E+00</c:formatCode>
                <c:ptCount val="4"/>
                <c:pt idx="0">
                  <c:v>2555</c:v>
                </c:pt>
                <c:pt idx="1">
                  <c:v>2555</c:v>
                </c:pt>
                <c:pt idx="2">
                  <c:v>4264</c:v>
                </c:pt>
                <c:pt idx="3">
                  <c:v>4264</c:v>
                </c:pt>
              </c:numCache>
            </c:numRef>
          </c:val>
        </c:ser>
        <c:ser>
          <c:idx val="11"/>
          <c:order val="11"/>
          <c:tx>
            <c:strRef>
              <c:f>'WAGR Recycling Variations'!$A$234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Variations'!$B$222:$E$222</c:f>
              <c:strCache>
                <c:ptCount val="4"/>
                <c:pt idx="0">
                  <c:v>35 HHISO Ref Case</c:v>
                </c:pt>
                <c:pt idx="1">
                  <c:v>35 HHISO, 4x Decontamination</c:v>
                </c:pt>
                <c:pt idx="2">
                  <c:v>48 HHISO Ref Case</c:v>
                </c:pt>
                <c:pt idx="3">
                  <c:v>48 HHISO, 4x Decontamination</c:v>
                </c:pt>
              </c:strCache>
            </c:strRef>
          </c:cat>
          <c:val>
            <c:numRef>
              <c:f>'WAGR Recycling Variations'!$B$234:$E$234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overlap val="100"/>
        <c:axId val="65243008"/>
        <c:axId val="65249280"/>
      </c:barChart>
      <c:catAx>
        <c:axId val="65243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Packaged Disposal HHISO and Decontamination Variation </a:t>
                </a:r>
              </a:p>
            </c:rich>
          </c:tx>
          <c:layout>
            <c:manualLayout>
              <c:xMode val="edge"/>
              <c:yMode val="edge"/>
              <c:x val="0.33794436409734496"/>
              <c:y val="0.85946101807696573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249280"/>
        <c:crosses val="autoZero"/>
        <c:auto val="1"/>
        <c:lblAlgn val="ctr"/>
        <c:lblOffset val="100"/>
        <c:tickLblSkip val="1"/>
        <c:tickMarkSkip val="1"/>
      </c:catAx>
      <c:valAx>
        <c:axId val="652492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5691788526434195E-2"/>
              <c:y val="0.16756792724853053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24300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965986394557823"/>
          <c:y val="0.90140845070422537"/>
          <c:w val="0.66496598639455784"/>
          <c:h val="6.338028169014084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742187500000001"/>
          <c:y val="0.14062506705525699"/>
          <c:w val="0.87304687500000011"/>
          <c:h val="0.33984391205020509"/>
        </c:manualLayout>
      </c:layout>
      <c:barChart>
        <c:barDir val="col"/>
        <c:grouping val="clustered"/>
        <c:ser>
          <c:idx val="0"/>
          <c:order val="0"/>
          <c:tx>
            <c:strRef>
              <c:f>'WAGR Recycling Variations'!$B$238</c:f>
              <c:strCache>
                <c:ptCount val="1"/>
                <c:pt idx="0">
                  <c:v>35 HHISO Ref Case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Variations'!$A$239:$A$249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Variations'!$B$239:$B$249</c:f>
              <c:numCache>
                <c:formatCode>0.00</c:formatCode>
                <c:ptCount val="11"/>
                <c:pt idx="0">
                  <c:v>19.899999999999999</c:v>
                </c:pt>
                <c:pt idx="1">
                  <c:v>0.109</c:v>
                </c:pt>
                <c:pt idx="2">
                  <c:v>132</c:v>
                </c:pt>
                <c:pt idx="3">
                  <c:v>34.5</c:v>
                </c:pt>
                <c:pt idx="4">
                  <c:v>0.59</c:v>
                </c:pt>
                <c:pt idx="5">
                  <c:v>8.4899999999999993E-3</c:v>
                </c:pt>
                <c:pt idx="6">
                  <c:v>12.7</c:v>
                </c:pt>
                <c:pt idx="7">
                  <c:v>3.96</c:v>
                </c:pt>
                <c:pt idx="8">
                  <c:v>6.45</c:v>
                </c:pt>
                <c:pt idx="9">
                  <c:v>42.5</c:v>
                </c:pt>
                <c:pt idx="10">
                  <c:v>122</c:v>
                </c:pt>
              </c:numCache>
            </c:numRef>
          </c:val>
        </c:ser>
        <c:ser>
          <c:idx val="1"/>
          <c:order val="1"/>
          <c:tx>
            <c:strRef>
              <c:f>'WAGR Recycling Variations'!$C$238</c:f>
              <c:strCache>
                <c:ptCount val="1"/>
                <c:pt idx="0">
                  <c:v>35 HHISO, 4x Decontamination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Variations'!$A$239:$A$249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Variations'!$C$239:$C$249</c:f>
              <c:numCache>
                <c:formatCode>0.00</c:formatCode>
                <c:ptCount val="11"/>
                <c:pt idx="0">
                  <c:v>20.9</c:v>
                </c:pt>
                <c:pt idx="1">
                  <c:v>0.113</c:v>
                </c:pt>
                <c:pt idx="2">
                  <c:v>134</c:v>
                </c:pt>
                <c:pt idx="3">
                  <c:v>34.799999999999997</c:v>
                </c:pt>
                <c:pt idx="4">
                  <c:v>0.59259200000000001</c:v>
                </c:pt>
                <c:pt idx="5">
                  <c:v>0.85899999999999999</c:v>
                </c:pt>
                <c:pt idx="6">
                  <c:v>13</c:v>
                </c:pt>
                <c:pt idx="7">
                  <c:v>4</c:v>
                </c:pt>
                <c:pt idx="8">
                  <c:v>6.55</c:v>
                </c:pt>
                <c:pt idx="9">
                  <c:v>43.3</c:v>
                </c:pt>
                <c:pt idx="10">
                  <c:v>12.4</c:v>
                </c:pt>
              </c:numCache>
            </c:numRef>
          </c:val>
        </c:ser>
        <c:ser>
          <c:idx val="2"/>
          <c:order val="2"/>
          <c:tx>
            <c:strRef>
              <c:f>'WAGR Recycling Variations'!$D$238</c:f>
              <c:strCache>
                <c:ptCount val="1"/>
                <c:pt idx="0">
                  <c:v>48 HHISO Ref Case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Variations'!$A$239:$A$249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Variations'!$D$239:$D$249</c:f>
              <c:numCache>
                <c:formatCode>0.00</c:formatCode>
                <c:ptCount val="11"/>
                <c:pt idx="0">
                  <c:v>29.3</c:v>
                </c:pt>
                <c:pt idx="1">
                  <c:v>0.17</c:v>
                </c:pt>
                <c:pt idx="2">
                  <c:v>197</c:v>
                </c:pt>
                <c:pt idx="3">
                  <c:v>53.3</c:v>
                </c:pt>
                <c:pt idx="4">
                  <c:v>0.88600000000000001</c:v>
                </c:pt>
                <c:pt idx="5">
                  <c:v>1.3899999999999999E-2</c:v>
                </c:pt>
                <c:pt idx="6">
                  <c:v>20.2</c:v>
                </c:pt>
                <c:pt idx="7">
                  <c:v>5.95</c:v>
                </c:pt>
                <c:pt idx="8">
                  <c:v>9.7100000000000009</c:v>
                </c:pt>
                <c:pt idx="9">
                  <c:v>63.6</c:v>
                </c:pt>
                <c:pt idx="10">
                  <c:v>203</c:v>
                </c:pt>
              </c:numCache>
            </c:numRef>
          </c:val>
        </c:ser>
        <c:ser>
          <c:idx val="3"/>
          <c:order val="3"/>
          <c:tx>
            <c:strRef>
              <c:f>'WAGR Recycling Variations'!$E$238</c:f>
              <c:strCache>
                <c:ptCount val="1"/>
                <c:pt idx="0">
                  <c:v>48 HHISO, 4x Decontamination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Variations'!$A$239:$A$249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Variations'!$E$239:$E$249</c:f>
              <c:numCache>
                <c:formatCode>0.00</c:formatCode>
                <c:ptCount val="11"/>
                <c:pt idx="0">
                  <c:v>29.5</c:v>
                </c:pt>
                <c:pt idx="1">
                  <c:v>0.17100000000000001</c:v>
                </c:pt>
                <c:pt idx="2">
                  <c:v>198</c:v>
                </c:pt>
                <c:pt idx="3">
                  <c:v>53.7</c:v>
                </c:pt>
                <c:pt idx="4">
                  <c:v>0.88800000000000001</c:v>
                </c:pt>
                <c:pt idx="5">
                  <c:v>1.4E-2</c:v>
                </c:pt>
                <c:pt idx="6">
                  <c:v>20.5</c:v>
                </c:pt>
                <c:pt idx="7">
                  <c:v>5.99</c:v>
                </c:pt>
                <c:pt idx="8">
                  <c:v>9.81</c:v>
                </c:pt>
                <c:pt idx="9">
                  <c:v>64.400000000000006</c:v>
                </c:pt>
                <c:pt idx="10">
                  <c:v>205</c:v>
                </c:pt>
              </c:numCache>
            </c:numRef>
          </c:val>
        </c:ser>
        <c:axId val="65345408"/>
        <c:axId val="65368064"/>
      </c:barChart>
      <c:catAx>
        <c:axId val="653454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Packaged Disposal Impact Category</a:t>
                </a:r>
              </a:p>
            </c:rich>
          </c:tx>
          <c:layout>
            <c:manualLayout>
              <c:xMode val="edge"/>
              <c:yMode val="edge"/>
              <c:x val="0.38976404689651484"/>
              <c:y val="0.8949432272052950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368064"/>
        <c:crosses val="autoZero"/>
        <c:auto val="1"/>
        <c:lblAlgn val="ctr"/>
        <c:lblOffset val="100"/>
        <c:tickLblSkip val="1"/>
        <c:tickMarkSkip val="1"/>
      </c:catAx>
      <c:valAx>
        <c:axId val="653680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5590417496624468E-2"/>
              <c:y val="0.15564275932899693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34540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959252971137522"/>
          <c:y val="2.717391304347826E-2"/>
          <c:w val="0.69269949066213921"/>
          <c:h val="5.706521739130434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4999941312377"/>
          <c:y val="0.15652198834810502"/>
          <c:w val="0.85384575296454723"/>
          <c:h val="0.321739642715549"/>
        </c:manualLayout>
      </c:layout>
      <c:barChart>
        <c:barDir val="col"/>
        <c:grouping val="clustered"/>
        <c:ser>
          <c:idx val="0"/>
          <c:order val="0"/>
          <c:tx>
            <c:strRef>
              <c:f>'WAGR Recycling Variations'!$B$251</c:f>
              <c:strCache>
                <c:ptCount val="1"/>
                <c:pt idx="0">
                  <c:v>35 HHISO Ref Case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Variations'!$A$252:$A$262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Variations'!$B$252:$B$262</c:f>
              <c:numCache>
                <c:formatCode>General</c:formatCode>
                <c:ptCount val="11"/>
                <c:pt idx="0" formatCode="0.00E+00">
                  <c:v>7950</c:v>
                </c:pt>
                <c:pt idx="1">
                  <c:v>43.5</c:v>
                </c:pt>
                <c:pt idx="2" formatCode="0.00E+00">
                  <c:v>52900</c:v>
                </c:pt>
                <c:pt idx="3" formatCode="0.00E+00">
                  <c:v>13800</c:v>
                </c:pt>
                <c:pt idx="4" formatCode="0.00E+00">
                  <c:v>236</c:v>
                </c:pt>
                <c:pt idx="5">
                  <c:v>3.4</c:v>
                </c:pt>
                <c:pt idx="6" formatCode="0.00E+00">
                  <c:v>5080</c:v>
                </c:pt>
                <c:pt idx="7" formatCode="0.00E+00">
                  <c:v>1590</c:v>
                </c:pt>
                <c:pt idx="8" formatCode="0.00E+00">
                  <c:v>2580</c:v>
                </c:pt>
                <c:pt idx="9" formatCode="0.00E+00">
                  <c:v>8500</c:v>
                </c:pt>
                <c:pt idx="10" formatCode="0.00E+00">
                  <c:v>24400</c:v>
                </c:pt>
              </c:numCache>
            </c:numRef>
          </c:val>
        </c:ser>
        <c:ser>
          <c:idx val="1"/>
          <c:order val="1"/>
          <c:tx>
            <c:strRef>
              <c:f>'WAGR Recycling Variations'!$C$251</c:f>
              <c:strCache>
                <c:ptCount val="1"/>
                <c:pt idx="0">
                  <c:v>35 HHISO, 4x Decontamination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Variations'!$A$252:$A$262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Variations'!$C$252:$C$262</c:f>
              <c:numCache>
                <c:formatCode>General</c:formatCode>
                <c:ptCount val="11"/>
                <c:pt idx="0" formatCode="0.00E+00">
                  <c:v>8020</c:v>
                </c:pt>
                <c:pt idx="1">
                  <c:v>43.9</c:v>
                </c:pt>
                <c:pt idx="2" formatCode="0.00E+00">
                  <c:v>53500</c:v>
                </c:pt>
                <c:pt idx="3" formatCode="0.00E+00">
                  <c:v>13900</c:v>
                </c:pt>
                <c:pt idx="4" formatCode="0.00E+00">
                  <c:v>237</c:v>
                </c:pt>
                <c:pt idx="5" formatCode="0.00E+00">
                  <c:v>3.44</c:v>
                </c:pt>
                <c:pt idx="6" formatCode="0.00E+00">
                  <c:v>5210</c:v>
                </c:pt>
                <c:pt idx="7" formatCode="0.00E+00">
                  <c:v>1600</c:v>
                </c:pt>
                <c:pt idx="8" formatCode="0.00E+00">
                  <c:v>2620</c:v>
                </c:pt>
                <c:pt idx="9" formatCode="0.00E+00">
                  <c:v>8650</c:v>
                </c:pt>
                <c:pt idx="10" formatCode="0.00E+00">
                  <c:v>24800</c:v>
                </c:pt>
              </c:numCache>
            </c:numRef>
          </c:val>
        </c:ser>
        <c:ser>
          <c:idx val="2"/>
          <c:order val="2"/>
          <c:tx>
            <c:strRef>
              <c:f>'WAGR Recycling Variations'!$D$251</c:f>
              <c:strCache>
                <c:ptCount val="1"/>
                <c:pt idx="0">
                  <c:v>48 HHISO Ref Case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Variations'!$A$252:$A$262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Variations'!$D$252:$D$262</c:f>
              <c:numCache>
                <c:formatCode>General</c:formatCode>
                <c:ptCount val="11"/>
                <c:pt idx="0" formatCode="0.00E+00">
                  <c:v>11700</c:v>
                </c:pt>
                <c:pt idx="1">
                  <c:v>67.900000000000006</c:v>
                </c:pt>
                <c:pt idx="2" formatCode="0.00E+00">
                  <c:v>78600</c:v>
                </c:pt>
                <c:pt idx="3" formatCode="0.00E+00">
                  <c:v>21300</c:v>
                </c:pt>
                <c:pt idx="4" formatCode="0.00E+00">
                  <c:v>354</c:v>
                </c:pt>
                <c:pt idx="5">
                  <c:v>5.58</c:v>
                </c:pt>
                <c:pt idx="6" formatCode="0.00E+00">
                  <c:v>8090</c:v>
                </c:pt>
                <c:pt idx="7" formatCode="0.00E+00">
                  <c:v>2380</c:v>
                </c:pt>
                <c:pt idx="8" formatCode="0.00E+00">
                  <c:v>3880</c:v>
                </c:pt>
                <c:pt idx="9" formatCode="0.00E+00">
                  <c:v>12700</c:v>
                </c:pt>
                <c:pt idx="10" formatCode="0.00E+00">
                  <c:v>40600</c:v>
                </c:pt>
              </c:numCache>
            </c:numRef>
          </c:val>
        </c:ser>
        <c:ser>
          <c:idx val="3"/>
          <c:order val="3"/>
          <c:tx>
            <c:strRef>
              <c:f>'WAGR Recycling Variations'!$E$251</c:f>
              <c:strCache>
                <c:ptCount val="1"/>
                <c:pt idx="0">
                  <c:v>48 HHISO, 4x Decontamination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Variations'!$A$252:$A$262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Variations'!$E$252:$E$262</c:f>
              <c:numCache>
                <c:formatCode>General</c:formatCode>
                <c:ptCount val="11"/>
                <c:pt idx="0" formatCode="0.00E+00">
                  <c:v>11800</c:v>
                </c:pt>
                <c:pt idx="1">
                  <c:v>68.400000000000006</c:v>
                </c:pt>
                <c:pt idx="2" formatCode="0.00E+00">
                  <c:v>79300</c:v>
                </c:pt>
                <c:pt idx="3" formatCode="0.00E+00">
                  <c:v>21500</c:v>
                </c:pt>
                <c:pt idx="4" formatCode="0.00E+00">
                  <c:v>355</c:v>
                </c:pt>
                <c:pt idx="5" formatCode="0.00E+00">
                  <c:v>5.62</c:v>
                </c:pt>
                <c:pt idx="6" formatCode="0.00E+00">
                  <c:v>8220</c:v>
                </c:pt>
                <c:pt idx="7" formatCode="0.00E+00">
                  <c:v>2400</c:v>
                </c:pt>
                <c:pt idx="8" formatCode="0.00E+00">
                  <c:v>3920</c:v>
                </c:pt>
                <c:pt idx="9" formatCode="0.00E+00">
                  <c:v>12900</c:v>
                </c:pt>
                <c:pt idx="10" formatCode="0.00E+00">
                  <c:v>41000</c:v>
                </c:pt>
              </c:numCache>
            </c:numRef>
          </c:val>
        </c:ser>
        <c:axId val="65402752"/>
        <c:axId val="65413120"/>
      </c:barChart>
      <c:catAx>
        <c:axId val="654027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Packaged Disposal Impact Category</a:t>
                </a:r>
              </a:p>
            </c:rich>
          </c:tx>
          <c:layout>
            <c:manualLayout>
              <c:xMode val="edge"/>
              <c:yMode val="edge"/>
              <c:x val="0.41860444061407748"/>
              <c:y val="0.8869579103816842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413120"/>
        <c:crosses val="autoZero"/>
        <c:auto val="1"/>
        <c:lblAlgn val="ctr"/>
        <c:lblOffset val="100"/>
        <c:tickLblSkip val="1"/>
        <c:tickMarkSkip val="1"/>
      </c:catAx>
      <c:valAx>
        <c:axId val="654131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5193890564674439E-2"/>
              <c:y val="8.6956329254023967E-2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40275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601328903654486"/>
          <c:y val="3.021152492967117E-2"/>
          <c:w val="0.66943521594684385"/>
          <c:h val="6.344420235230945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162170760463202"/>
          <c:y val="0.26457370137583508"/>
          <c:w val="0.85714346311836109"/>
          <c:h val="0.57399040298486215"/>
        </c:manualLayout>
      </c:layout>
      <c:barChart>
        <c:barDir val="col"/>
        <c:grouping val="stacked"/>
        <c:ser>
          <c:idx val="0"/>
          <c:order val="0"/>
          <c:tx>
            <c:strRef>
              <c:f>'WAGR Recycling Variations'!$A$267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Variations'!$B$266:$D$266</c:f>
              <c:strCache>
                <c:ptCount val="3"/>
                <c:pt idx="0">
                  <c:v>Final Ref Case</c:v>
                </c:pt>
                <c:pt idx="1">
                  <c:v>x4 Size Reduction</c:v>
                </c:pt>
                <c:pt idx="2">
                  <c:v>x4 Decontamination</c:v>
                </c:pt>
              </c:strCache>
            </c:strRef>
          </c:cat>
          <c:val>
            <c:numRef>
              <c:f>'WAGR Recycling Variations'!$B$267:$D$267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Recycling Variations'!$A$268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Variations'!$B$266:$D$266</c:f>
              <c:strCache>
                <c:ptCount val="3"/>
                <c:pt idx="0">
                  <c:v>Final Ref Case</c:v>
                </c:pt>
                <c:pt idx="1">
                  <c:v>x4 Size Reduction</c:v>
                </c:pt>
                <c:pt idx="2">
                  <c:v>x4 Decontamination</c:v>
                </c:pt>
              </c:strCache>
            </c:strRef>
          </c:cat>
          <c:val>
            <c:numRef>
              <c:f>'WAGR Recycling Variations'!$B$268:$D$268</c:f>
              <c:numCache>
                <c:formatCode>0.00E+00</c:formatCode>
                <c:ptCount val="3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</c:numCache>
            </c:numRef>
          </c:val>
        </c:ser>
        <c:ser>
          <c:idx val="2"/>
          <c:order val="2"/>
          <c:tx>
            <c:strRef>
              <c:f>'WAGR Recycling Variations'!$A$269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Variations'!$B$266:$D$266</c:f>
              <c:strCache>
                <c:ptCount val="3"/>
                <c:pt idx="0">
                  <c:v>Final Ref Case</c:v>
                </c:pt>
                <c:pt idx="1">
                  <c:v>x4 Size Reduction</c:v>
                </c:pt>
                <c:pt idx="2">
                  <c:v>x4 Decontamination</c:v>
                </c:pt>
              </c:strCache>
            </c:strRef>
          </c:cat>
          <c:val>
            <c:numRef>
              <c:f>'WAGR Recycling Variations'!$B$269:$D$269</c:f>
              <c:numCache>
                <c:formatCode>0.00E+00</c:formatCode>
                <c:ptCount val="3"/>
                <c:pt idx="0">
                  <c:v>923</c:v>
                </c:pt>
                <c:pt idx="1">
                  <c:v>923</c:v>
                </c:pt>
                <c:pt idx="2">
                  <c:v>923</c:v>
                </c:pt>
              </c:numCache>
            </c:numRef>
          </c:val>
        </c:ser>
        <c:ser>
          <c:idx val="3"/>
          <c:order val="3"/>
          <c:tx>
            <c:strRef>
              <c:f>'WAGR Recycling Variations'!$A$270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Variations'!$B$266:$D$266</c:f>
              <c:strCache>
                <c:ptCount val="3"/>
                <c:pt idx="0">
                  <c:v>Final Ref Case</c:v>
                </c:pt>
                <c:pt idx="1">
                  <c:v>x4 Size Reduction</c:v>
                </c:pt>
                <c:pt idx="2">
                  <c:v>x4 Decontamination</c:v>
                </c:pt>
              </c:strCache>
            </c:strRef>
          </c:cat>
          <c:val>
            <c:numRef>
              <c:f>'WAGR Recycling Variations'!$B$270:$D$270</c:f>
              <c:numCache>
                <c:formatCode>0.00E+00</c:formatCode>
                <c:ptCount val="3"/>
                <c:pt idx="0">
                  <c:v>5819</c:v>
                </c:pt>
                <c:pt idx="1">
                  <c:v>5819</c:v>
                </c:pt>
                <c:pt idx="2">
                  <c:v>5819</c:v>
                </c:pt>
              </c:numCache>
            </c:numRef>
          </c:val>
        </c:ser>
        <c:ser>
          <c:idx val="4"/>
          <c:order val="4"/>
          <c:tx>
            <c:strRef>
              <c:f>'WAGR Recycling Variations'!$A$271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Variations'!$B$266:$D$266</c:f>
              <c:strCache>
                <c:ptCount val="3"/>
                <c:pt idx="0">
                  <c:v>Final Ref Case</c:v>
                </c:pt>
                <c:pt idx="1">
                  <c:v>x4 Size Reduction</c:v>
                </c:pt>
                <c:pt idx="2">
                  <c:v>x4 Decontamination</c:v>
                </c:pt>
              </c:strCache>
            </c:strRef>
          </c:cat>
          <c:val>
            <c:numRef>
              <c:f>'WAGR Recycling Variations'!$B$271:$D$271</c:f>
              <c:numCache>
                <c:formatCode>0.00E+00</c:formatCode>
                <c:ptCount val="3"/>
                <c:pt idx="0">
                  <c:v>3095</c:v>
                </c:pt>
                <c:pt idx="1">
                  <c:v>3095</c:v>
                </c:pt>
                <c:pt idx="2">
                  <c:v>3095</c:v>
                </c:pt>
              </c:numCache>
            </c:numRef>
          </c:val>
        </c:ser>
        <c:ser>
          <c:idx val="5"/>
          <c:order val="5"/>
          <c:tx>
            <c:strRef>
              <c:f>'WAGR Recycling Variations'!$A$272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Variations'!$B$266:$D$266</c:f>
              <c:strCache>
                <c:ptCount val="3"/>
                <c:pt idx="0">
                  <c:v>Final Ref Case</c:v>
                </c:pt>
                <c:pt idx="1">
                  <c:v>x4 Size Reduction</c:v>
                </c:pt>
                <c:pt idx="2">
                  <c:v>x4 Decontamination</c:v>
                </c:pt>
              </c:strCache>
            </c:strRef>
          </c:cat>
          <c:val>
            <c:numRef>
              <c:f>'WAGR Recycling Variations'!$B$272:$D$272</c:f>
              <c:numCache>
                <c:formatCode>0.00E+00</c:formatCode>
                <c:ptCount val="3"/>
                <c:pt idx="0">
                  <c:v>3234</c:v>
                </c:pt>
                <c:pt idx="1">
                  <c:v>11040</c:v>
                </c:pt>
                <c:pt idx="2">
                  <c:v>4830</c:v>
                </c:pt>
              </c:numCache>
            </c:numRef>
          </c:val>
        </c:ser>
        <c:ser>
          <c:idx val="6"/>
          <c:order val="6"/>
          <c:tx>
            <c:strRef>
              <c:f>'WAGR Recycling Variations'!$A$273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Variations'!$B$266:$D$266</c:f>
              <c:strCache>
                <c:ptCount val="3"/>
                <c:pt idx="0">
                  <c:v>Final Ref Case</c:v>
                </c:pt>
                <c:pt idx="1">
                  <c:v>x4 Size Reduction</c:v>
                </c:pt>
                <c:pt idx="2">
                  <c:v>x4 Decontamination</c:v>
                </c:pt>
              </c:strCache>
            </c:strRef>
          </c:cat>
          <c:val>
            <c:numRef>
              <c:f>'WAGR Recycling Variations'!$B$273:$D$273</c:f>
              <c:numCache>
                <c:formatCode>0.00E+00</c:formatCode>
                <c:ptCount val="3"/>
                <c:pt idx="0">
                  <c:v>4550</c:v>
                </c:pt>
                <c:pt idx="1">
                  <c:v>4550</c:v>
                </c:pt>
                <c:pt idx="2">
                  <c:v>4550</c:v>
                </c:pt>
              </c:numCache>
            </c:numRef>
          </c:val>
        </c:ser>
        <c:ser>
          <c:idx val="7"/>
          <c:order val="7"/>
          <c:tx>
            <c:strRef>
              <c:f>'WAGR Recycling Variations'!$A$274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Variations'!$B$266:$D$266</c:f>
              <c:strCache>
                <c:ptCount val="3"/>
                <c:pt idx="0">
                  <c:v>Final Ref Case</c:v>
                </c:pt>
                <c:pt idx="1">
                  <c:v>x4 Size Reduction</c:v>
                </c:pt>
                <c:pt idx="2">
                  <c:v>x4 Decontamination</c:v>
                </c:pt>
              </c:strCache>
            </c:strRef>
          </c:cat>
          <c:val>
            <c:numRef>
              <c:f>'WAGR Recycling Variations'!$B$274:$D$274</c:f>
              <c:numCache>
                <c:formatCode>0.00E+00</c:formatCode>
                <c:ptCount val="3"/>
                <c:pt idx="0">
                  <c:v>3757</c:v>
                </c:pt>
                <c:pt idx="1">
                  <c:v>3757</c:v>
                </c:pt>
                <c:pt idx="2">
                  <c:v>3757</c:v>
                </c:pt>
              </c:numCache>
            </c:numRef>
          </c:val>
        </c:ser>
        <c:ser>
          <c:idx val="8"/>
          <c:order val="8"/>
          <c:tx>
            <c:strRef>
              <c:f>'WAGR Recycling Variations'!$A$275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Variations'!$B$266:$D$266</c:f>
              <c:strCache>
                <c:ptCount val="3"/>
                <c:pt idx="0">
                  <c:v>Final Ref Case</c:v>
                </c:pt>
                <c:pt idx="1">
                  <c:v>x4 Size Reduction</c:v>
                </c:pt>
                <c:pt idx="2">
                  <c:v>x4 Decontamination</c:v>
                </c:pt>
              </c:strCache>
            </c:strRef>
          </c:cat>
          <c:val>
            <c:numRef>
              <c:f>'WAGR Recycling Variations'!$B$275:$D$275</c:f>
              <c:numCache>
                <c:formatCode>0.00E+00</c:formatCode>
                <c:ptCount val="3"/>
                <c:pt idx="0">
                  <c:v>-73600</c:v>
                </c:pt>
                <c:pt idx="1">
                  <c:v>-73600</c:v>
                </c:pt>
                <c:pt idx="2">
                  <c:v>-73600</c:v>
                </c:pt>
              </c:numCache>
            </c:numRef>
          </c:val>
        </c:ser>
        <c:ser>
          <c:idx val="9"/>
          <c:order val="9"/>
          <c:tx>
            <c:strRef>
              <c:f>'WAGR Recycling Variations'!$A$276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Variations'!$B$266:$D$266</c:f>
              <c:strCache>
                <c:ptCount val="3"/>
                <c:pt idx="0">
                  <c:v>Final Ref Case</c:v>
                </c:pt>
                <c:pt idx="1">
                  <c:v>x4 Size Reduction</c:v>
                </c:pt>
                <c:pt idx="2">
                  <c:v>x4 Decontamination</c:v>
                </c:pt>
              </c:strCache>
            </c:strRef>
          </c:cat>
          <c:val>
            <c:numRef>
              <c:f>'WAGR Recycling Variations'!$B$276:$D$276</c:f>
              <c:numCache>
                <c:formatCode>0.00E+00</c:formatCode>
                <c:ptCount val="3"/>
                <c:pt idx="0">
                  <c:v>5252</c:v>
                </c:pt>
                <c:pt idx="1">
                  <c:v>5252</c:v>
                </c:pt>
                <c:pt idx="2">
                  <c:v>5252</c:v>
                </c:pt>
              </c:numCache>
            </c:numRef>
          </c:val>
        </c:ser>
        <c:ser>
          <c:idx val="10"/>
          <c:order val="10"/>
          <c:tx>
            <c:strRef>
              <c:f>'WAGR Recycling Variations'!$A$277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Variations'!$B$266:$D$266</c:f>
              <c:strCache>
                <c:ptCount val="3"/>
                <c:pt idx="0">
                  <c:v>Final Ref Case</c:v>
                </c:pt>
                <c:pt idx="1">
                  <c:v>x4 Size Reduction</c:v>
                </c:pt>
                <c:pt idx="2">
                  <c:v>x4 Decontamination</c:v>
                </c:pt>
              </c:strCache>
            </c:strRef>
          </c:cat>
          <c:val>
            <c:numRef>
              <c:f>'WAGR Recycling Variations'!$B$277:$D$277</c:f>
              <c:numCache>
                <c:formatCode>0.00E+00</c:formatCode>
                <c:ptCount val="3"/>
                <c:pt idx="0">
                  <c:v>320.7</c:v>
                </c:pt>
                <c:pt idx="1">
                  <c:v>320.7</c:v>
                </c:pt>
                <c:pt idx="2">
                  <c:v>320.7</c:v>
                </c:pt>
              </c:numCache>
            </c:numRef>
          </c:val>
        </c:ser>
        <c:ser>
          <c:idx val="11"/>
          <c:order val="11"/>
          <c:tx>
            <c:strRef>
              <c:f>'WAGR Recycling Variations'!$A$278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Variations'!$B$266:$D$266</c:f>
              <c:strCache>
                <c:ptCount val="3"/>
                <c:pt idx="0">
                  <c:v>Final Ref Case</c:v>
                </c:pt>
                <c:pt idx="1">
                  <c:v>x4 Size Reduction</c:v>
                </c:pt>
                <c:pt idx="2">
                  <c:v>x4 Decontamination</c:v>
                </c:pt>
              </c:strCache>
            </c:strRef>
          </c:cat>
          <c:val>
            <c:numRef>
              <c:f>'WAGR Recycling Variations'!$B$278:$D$278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overlap val="100"/>
        <c:axId val="65495424"/>
        <c:axId val="65497344"/>
      </c:barChart>
      <c:catAx>
        <c:axId val="654954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Containerised Recycling Size Reduction and Decomtamination Variation</a:t>
                </a:r>
              </a:p>
            </c:rich>
          </c:tx>
          <c:layout>
            <c:manualLayout>
              <c:xMode val="edge"/>
              <c:yMode val="edge"/>
              <c:x val="0.28988363954505686"/>
              <c:y val="0.88392888388951385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497344"/>
        <c:crosses val="autoZero"/>
        <c:auto val="1"/>
        <c:lblAlgn val="ctr"/>
        <c:lblOffset val="100"/>
        <c:tickLblSkip val="1"/>
        <c:tickMarkSkip val="1"/>
      </c:catAx>
      <c:valAx>
        <c:axId val="654973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</a:t>
                </a:r>
              </a:p>
            </c:rich>
          </c:tx>
          <c:layout>
            <c:manualLayout>
              <c:xMode val="edge"/>
              <c:yMode val="edge"/>
              <c:x val="2.5292038495188102E-2"/>
              <c:y val="0.35267872765904262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49542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166666666666668"/>
          <c:y val="2.0833333333333332E-2"/>
          <c:w val="0.66500000000000004"/>
          <c:h val="0.1815476190476190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240307418395701"/>
          <c:y val="0.15062784586428701"/>
          <c:w val="0.87015483290683615"/>
          <c:h val="0.6987458405371102"/>
        </c:manualLayout>
      </c:layout>
      <c:barChart>
        <c:barDir val="col"/>
        <c:grouping val="clustered"/>
        <c:ser>
          <c:idx val="0"/>
          <c:order val="0"/>
          <c:tx>
            <c:strRef>
              <c:f>'WAGR Recycling Variations'!$B$282</c:f>
              <c:strCache>
                <c:ptCount val="1"/>
                <c:pt idx="0">
                  <c:v>Final Ref Case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Variations'!$A$283:$A$293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Variations'!$B$283:$B$293</c:f>
              <c:numCache>
                <c:formatCode>0.00</c:formatCode>
                <c:ptCount val="11"/>
                <c:pt idx="0">
                  <c:v>21.9</c:v>
                </c:pt>
                <c:pt idx="1">
                  <c:v>4.1599999999999996E-3</c:v>
                </c:pt>
                <c:pt idx="2">
                  <c:v>-130</c:v>
                </c:pt>
                <c:pt idx="3">
                  <c:v>-14.6</c:v>
                </c:pt>
                <c:pt idx="4">
                  <c:v>0.35399999999999998</c:v>
                </c:pt>
                <c:pt idx="5">
                  <c:v>2.8600000000000001E-3</c:v>
                </c:pt>
                <c:pt idx="6">
                  <c:v>10.3</c:v>
                </c:pt>
                <c:pt idx="7">
                  <c:v>-0.67300000000000004</c:v>
                </c:pt>
                <c:pt idx="8">
                  <c:v>-0.26300000000000001</c:v>
                </c:pt>
                <c:pt idx="9">
                  <c:v>-24.8</c:v>
                </c:pt>
                <c:pt idx="10">
                  <c:v>24.7</c:v>
                </c:pt>
              </c:numCache>
            </c:numRef>
          </c:val>
        </c:ser>
        <c:ser>
          <c:idx val="1"/>
          <c:order val="1"/>
          <c:tx>
            <c:strRef>
              <c:f>'WAGR Recycling Variations'!$C$282</c:f>
              <c:strCache>
                <c:ptCount val="1"/>
                <c:pt idx="0">
                  <c:v>x4 Size Reduction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Variations'!$A$283:$A$293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Variations'!$C$283:$C$293</c:f>
              <c:numCache>
                <c:formatCode>0.00</c:formatCode>
                <c:ptCount val="11"/>
                <c:pt idx="0">
                  <c:v>22.9</c:v>
                </c:pt>
                <c:pt idx="1">
                  <c:v>8.9599999999999992E-3</c:v>
                </c:pt>
                <c:pt idx="2">
                  <c:v>-122</c:v>
                </c:pt>
                <c:pt idx="3">
                  <c:v>-12.3</c:v>
                </c:pt>
                <c:pt idx="4">
                  <c:v>0.39700000000000002</c:v>
                </c:pt>
                <c:pt idx="5">
                  <c:v>3.4299999999999999E-3</c:v>
                </c:pt>
                <c:pt idx="6">
                  <c:v>11.4</c:v>
                </c:pt>
                <c:pt idx="7">
                  <c:v>-0.439</c:v>
                </c:pt>
                <c:pt idx="8">
                  <c:v>7.4800000000000005E-2</c:v>
                </c:pt>
                <c:pt idx="9">
                  <c:v>-22.4</c:v>
                </c:pt>
                <c:pt idx="10">
                  <c:v>34.700000000000003</c:v>
                </c:pt>
              </c:numCache>
            </c:numRef>
          </c:val>
        </c:ser>
        <c:ser>
          <c:idx val="2"/>
          <c:order val="2"/>
          <c:tx>
            <c:strRef>
              <c:f>'WAGR Recycling Variations'!$D$282</c:f>
              <c:strCache>
                <c:ptCount val="1"/>
                <c:pt idx="0">
                  <c:v>x4 Decontamination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Variations'!$A$283:$A$293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Variations'!$D$283:$D$293</c:f>
              <c:numCache>
                <c:formatCode>0.00</c:formatCode>
                <c:ptCount val="11"/>
                <c:pt idx="0">
                  <c:v>22</c:v>
                </c:pt>
                <c:pt idx="1">
                  <c:v>5.3299999999999997E-3</c:v>
                </c:pt>
                <c:pt idx="2">
                  <c:v>-129</c:v>
                </c:pt>
                <c:pt idx="3">
                  <c:v>-14.2</c:v>
                </c:pt>
                <c:pt idx="4">
                  <c:v>0.35699999999999998</c:v>
                </c:pt>
                <c:pt idx="5">
                  <c:v>2.96E-3</c:v>
                </c:pt>
                <c:pt idx="6">
                  <c:v>10.6</c:v>
                </c:pt>
                <c:pt idx="7">
                  <c:v>-0.63400000000000001</c:v>
                </c:pt>
                <c:pt idx="8">
                  <c:v>-0.16300000000000001</c:v>
                </c:pt>
                <c:pt idx="9">
                  <c:v>-24</c:v>
                </c:pt>
                <c:pt idx="10">
                  <c:v>26.5</c:v>
                </c:pt>
              </c:numCache>
            </c:numRef>
          </c:val>
        </c:ser>
        <c:axId val="65678720"/>
        <c:axId val="65689088"/>
      </c:barChart>
      <c:catAx>
        <c:axId val="656787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Containerised Recycling Impact Category</a:t>
                </a:r>
              </a:p>
            </c:rich>
          </c:tx>
          <c:layout>
            <c:manualLayout>
              <c:xMode val="edge"/>
              <c:yMode val="edge"/>
              <c:x val="0.38671880300676703"/>
              <c:y val="0.8870307241006638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689088"/>
        <c:crosses val="autoZero"/>
        <c:auto val="1"/>
        <c:lblAlgn val="ctr"/>
        <c:lblOffset val="100"/>
        <c:tickLblSkip val="1"/>
        <c:tickMarkSkip val="1"/>
      </c:catAx>
      <c:valAx>
        <c:axId val="656890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Values</a:t>
                </a:r>
              </a:p>
            </c:rich>
          </c:tx>
          <c:layout>
            <c:manualLayout>
              <c:xMode val="edge"/>
              <c:yMode val="edge"/>
              <c:x val="2.5390576177977752E-2"/>
              <c:y val="0.33891276825690902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67872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50257694995569"/>
          <c:y val="2.3529445555844377E-2"/>
          <c:w val="0.36842135805304116"/>
          <c:h val="6.176479458409148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3243761996161199"/>
          <c:y val="0.14728654295636703"/>
          <c:w val="0.84836852207293689"/>
          <c:h val="0.72092886815484913"/>
        </c:manualLayout>
      </c:layout>
      <c:barChart>
        <c:barDir val="col"/>
        <c:grouping val="clustered"/>
        <c:ser>
          <c:idx val="0"/>
          <c:order val="0"/>
          <c:tx>
            <c:strRef>
              <c:f>'WAGR Recycling Variations'!$B$295</c:f>
              <c:strCache>
                <c:ptCount val="1"/>
                <c:pt idx="0">
                  <c:v>Final Ref Case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Variations'!$A$296:$A$306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Variations'!$B$296:$B$306</c:f>
              <c:numCache>
                <c:formatCode>General</c:formatCode>
                <c:ptCount val="11"/>
                <c:pt idx="0" formatCode="0.00E+00">
                  <c:v>8740</c:v>
                </c:pt>
                <c:pt idx="1">
                  <c:v>1.66</c:v>
                </c:pt>
                <c:pt idx="2" formatCode="0.00E+00">
                  <c:v>-52200</c:v>
                </c:pt>
                <c:pt idx="3" formatCode="0.00E+00">
                  <c:v>-5830</c:v>
                </c:pt>
                <c:pt idx="4" formatCode="0.00E+00">
                  <c:v>142</c:v>
                </c:pt>
                <c:pt idx="5">
                  <c:v>1.1399999999999999</c:v>
                </c:pt>
                <c:pt idx="6" formatCode="0.00E+00">
                  <c:v>4110</c:v>
                </c:pt>
                <c:pt idx="7" formatCode="0.00E+00">
                  <c:v>-269</c:v>
                </c:pt>
                <c:pt idx="8" formatCode="0.00E+00">
                  <c:v>-105</c:v>
                </c:pt>
                <c:pt idx="9" formatCode="0.00E+00">
                  <c:v>-4960</c:v>
                </c:pt>
                <c:pt idx="10" formatCode="0.00E+00">
                  <c:v>4940</c:v>
                </c:pt>
              </c:numCache>
            </c:numRef>
          </c:val>
        </c:ser>
        <c:ser>
          <c:idx val="1"/>
          <c:order val="1"/>
          <c:tx>
            <c:strRef>
              <c:f>'WAGR Recycling Variations'!$C$295</c:f>
              <c:strCache>
                <c:ptCount val="1"/>
                <c:pt idx="0">
                  <c:v>x4 Size Reduction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Variations'!$A$296:$A$306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Variations'!$C$296:$C$306</c:f>
              <c:numCache>
                <c:formatCode>General</c:formatCode>
                <c:ptCount val="11"/>
                <c:pt idx="0" formatCode="0.00E+00">
                  <c:v>9150</c:v>
                </c:pt>
                <c:pt idx="1">
                  <c:v>3.58</c:v>
                </c:pt>
                <c:pt idx="2" formatCode="0.00E+00">
                  <c:v>-49000</c:v>
                </c:pt>
                <c:pt idx="3" formatCode="0.00E+00">
                  <c:v>-4900</c:v>
                </c:pt>
                <c:pt idx="4" formatCode="0.00E+00">
                  <c:v>159</c:v>
                </c:pt>
                <c:pt idx="5" formatCode="0.00E+00">
                  <c:v>1.37</c:v>
                </c:pt>
                <c:pt idx="6" formatCode="0.00E+00">
                  <c:v>4560</c:v>
                </c:pt>
                <c:pt idx="7" formatCode="0.00E+00">
                  <c:v>-175</c:v>
                </c:pt>
                <c:pt idx="8" formatCode="0.00E+00">
                  <c:v>29.9</c:v>
                </c:pt>
                <c:pt idx="9" formatCode="0.00E+00">
                  <c:v>-4490</c:v>
                </c:pt>
                <c:pt idx="10" formatCode="0.00E+00">
                  <c:v>6930</c:v>
                </c:pt>
              </c:numCache>
            </c:numRef>
          </c:val>
        </c:ser>
        <c:ser>
          <c:idx val="2"/>
          <c:order val="2"/>
          <c:tx>
            <c:strRef>
              <c:f>'WAGR Recycling Variations'!$D$295</c:f>
              <c:strCache>
                <c:ptCount val="1"/>
                <c:pt idx="0">
                  <c:v>x4 Decontamination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Variations'!$A$296:$A$306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Variations'!$D$296:$D$306</c:f>
              <c:numCache>
                <c:formatCode>General</c:formatCode>
                <c:ptCount val="11"/>
                <c:pt idx="0" formatCode="0.00E+00">
                  <c:v>8820</c:v>
                </c:pt>
                <c:pt idx="1">
                  <c:v>2.13</c:v>
                </c:pt>
                <c:pt idx="2" formatCode="0.00E+00">
                  <c:v>-51500</c:v>
                </c:pt>
                <c:pt idx="3" formatCode="0.00E+00">
                  <c:v>-5690</c:v>
                </c:pt>
                <c:pt idx="4" formatCode="0.00E+00">
                  <c:v>143</c:v>
                </c:pt>
                <c:pt idx="5">
                  <c:v>1.18</c:v>
                </c:pt>
                <c:pt idx="6" formatCode="0.00E+00">
                  <c:v>4240</c:v>
                </c:pt>
                <c:pt idx="7" formatCode="0.00E+00">
                  <c:v>-254</c:v>
                </c:pt>
                <c:pt idx="8" formatCode="0.00E+00">
                  <c:v>-65.2</c:v>
                </c:pt>
                <c:pt idx="9" formatCode="0.00E+00">
                  <c:v>-4810</c:v>
                </c:pt>
                <c:pt idx="10" formatCode="0.00E+00">
                  <c:v>5300</c:v>
                </c:pt>
              </c:numCache>
            </c:numRef>
          </c:val>
        </c:ser>
        <c:axId val="65731200"/>
        <c:axId val="65737472"/>
      </c:barChart>
      <c:catAx>
        <c:axId val="657312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Containerised Recycling Impact Category</a:t>
                </a:r>
              </a:p>
            </c:rich>
          </c:tx>
          <c:layout>
            <c:manualLayout>
              <c:xMode val="edge"/>
              <c:yMode val="edge"/>
              <c:x val="0.3817825933156026"/>
              <c:y val="0.8953470951266226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37472"/>
        <c:crosses val="autoZero"/>
        <c:auto val="1"/>
        <c:lblAlgn val="ctr"/>
        <c:lblOffset val="100"/>
        <c:tickLblSkip val="1"/>
        <c:tickMarkSkip val="1"/>
      </c:catAx>
      <c:valAx>
        <c:axId val="657374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5193880714993823E-2"/>
              <c:y val="0.26356529758104563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3120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7071593788667474"/>
          <c:y val="5.6910719720527712E-2"/>
          <c:w val="0.3510818160177504"/>
          <c:h val="5.691071972052771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32553669321122"/>
          <c:y val="0.243697603984213"/>
          <c:w val="0.84795361992188412"/>
          <c:h val="0.59663896147859008"/>
        </c:manualLayout>
      </c:layout>
      <c:barChart>
        <c:barDir val="col"/>
        <c:grouping val="stacked"/>
        <c:ser>
          <c:idx val="0"/>
          <c:order val="0"/>
          <c:tx>
            <c:strRef>
              <c:f>'WAGR Recycling Variations'!$A$311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Variations'!$B$310:$D$310</c:f>
              <c:strCache>
                <c:ptCount val="3"/>
                <c:pt idx="0">
                  <c:v>Final Ref Case</c:v>
                </c:pt>
                <c:pt idx="1">
                  <c:v>x4 Slag</c:v>
                </c:pt>
                <c:pt idx="2">
                  <c:v>x4 Slag Crushing</c:v>
                </c:pt>
              </c:strCache>
            </c:strRef>
          </c:cat>
          <c:val>
            <c:numRef>
              <c:f>'WAGR Recycling Variations'!$B$311:$D$311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Recycling Variations'!$A$312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Variations'!$B$310:$D$310</c:f>
              <c:strCache>
                <c:ptCount val="3"/>
                <c:pt idx="0">
                  <c:v>Final Ref Case</c:v>
                </c:pt>
                <c:pt idx="1">
                  <c:v>x4 Slag</c:v>
                </c:pt>
                <c:pt idx="2">
                  <c:v>x4 Slag Crushing</c:v>
                </c:pt>
              </c:strCache>
            </c:strRef>
          </c:cat>
          <c:val>
            <c:numRef>
              <c:f>'WAGR Recycling Variations'!$B$312:$D$312</c:f>
              <c:numCache>
                <c:formatCode>0.00E+00</c:formatCode>
                <c:ptCount val="3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</c:numCache>
            </c:numRef>
          </c:val>
        </c:ser>
        <c:ser>
          <c:idx val="2"/>
          <c:order val="2"/>
          <c:tx>
            <c:strRef>
              <c:f>'WAGR Recycling Variations'!$A$313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Variations'!$B$310:$D$310</c:f>
              <c:strCache>
                <c:ptCount val="3"/>
                <c:pt idx="0">
                  <c:v>Final Ref Case</c:v>
                </c:pt>
                <c:pt idx="1">
                  <c:v>x4 Slag</c:v>
                </c:pt>
                <c:pt idx="2">
                  <c:v>x4 Slag Crushing</c:v>
                </c:pt>
              </c:strCache>
            </c:strRef>
          </c:cat>
          <c:val>
            <c:numRef>
              <c:f>'WAGR Recycling Variations'!$B$313:$D$313</c:f>
              <c:numCache>
                <c:formatCode>0.00E+00</c:formatCode>
                <c:ptCount val="3"/>
                <c:pt idx="0">
                  <c:v>923</c:v>
                </c:pt>
                <c:pt idx="1">
                  <c:v>923</c:v>
                </c:pt>
                <c:pt idx="2">
                  <c:v>923</c:v>
                </c:pt>
              </c:numCache>
            </c:numRef>
          </c:val>
        </c:ser>
        <c:ser>
          <c:idx val="3"/>
          <c:order val="3"/>
          <c:tx>
            <c:strRef>
              <c:f>'WAGR Recycling Variations'!$A$314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Variations'!$B$310:$D$310</c:f>
              <c:strCache>
                <c:ptCount val="3"/>
                <c:pt idx="0">
                  <c:v>Final Ref Case</c:v>
                </c:pt>
                <c:pt idx="1">
                  <c:v>x4 Slag</c:v>
                </c:pt>
                <c:pt idx="2">
                  <c:v>x4 Slag Crushing</c:v>
                </c:pt>
              </c:strCache>
            </c:strRef>
          </c:cat>
          <c:val>
            <c:numRef>
              <c:f>'WAGR Recycling Variations'!$B$314:$D$314</c:f>
              <c:numCache>
                <c:formatCode>0.00E+00</c:formatCode>
                <c:ptCount val="3"/>
                <c:pt idx="0">
                  <c:v>5819</c:v>
                </c:pt>
                <c:pt idx="1">
                  <c:v>5819</c:v>
                </c:pt>
                <c:pt idx="2">
                  <c:v>5819</c:v>
                </c:pt>
              </c:numCache>
            </c:numRef>
          </c:val>
        </c:ser>
        <c:ser>
          <c:idx val="4"/>
          <c:order val="4"/>
          <c:tx>
            <c:strRef>
              <c:f>'WAGR Recycling Variations'!$A$315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Variations'!$B$310:$D$310</c:f>
              <c:strCache>
                <c:ptCount val="3"/>
                <c:pt idx="0">
                  <c:v>Final Ref Case</c:v>
                </c:pt>
                <c:pt idx="1">
                  <c:v>x4 Slag</c:v>
                </c:pt>
                <c:pt idx="2">
                  <c:v>x4 Slag Crushing</c:v>
                </c:pt>
              </c:strCache>
            </c:strRef>
          </c:cat>
          <c:val>
            <c:numRef>
              <c:f>'WAGR Recycling Variations'!$B$315:$D$315</c:f>
              <c:numCache>
                <c:formatCode>0.00E+00</c:formatCode>
                <c:ptCount val="3"/>
                <c:pt idx="0">
                  <c:v>3095</c:v>
                </c:pt>
                <c:pt idx="1">
                  <c:v>3095</c:v>
                </c:pt>
                <c:pt idx="2">
                  <c:v>3095</c:v>
                </c:pt>
              </c:numCache>
            </c:numRef>
          </c:val>
        </c:ser>
        <c:ser>
          <c:idx val="5"/>
          <c:order val="5"/>
          <c:tx>
            <c:strRef>
              <c:f>'WAGR Recycling Variations'!$A$316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Variations'!$B$310:$D$310</c:f>
              <c:strCache>
                <c:ptCount val="3"/>
                <c:pt idx="0">
                  <c:v>Final Ref Case</c:v>
                </c:pt>
                <c:pt idx="1">
                  <c:v>x4 Slag</c:v>
                </c:pt>
                <c:pt idx="2">
                  <c:v>x4 Slag Crushing</c:v>
                </c:pt>
              </c:strCache>
            </c:strRef>
          </c:cat>
          <c:val>
            <c:numRef>
              <c:f>'WAGR Recycling Variations'!$B$316:$D$316</c:f>
              <c:numCache>
                <c:formatCode>0.00E+00</c:formatCode>
                <c:ptCount val="3"/>
                <c:pt idx="0">
                  <c:v>3234</c:v>
                </c:pt>
                <c:pt idx="1">
                  <c:v>3234</c:v>
                </c:pt>
                <c:pt idx="2">
                  <c:v>3234</c:v>
                </c:pt>
              </c:numCache>
            </c:numRef>
          </c:val>
        </c:ser>
        <c:ser>
          <c:idx val="6"/>
          <c:order val="6"/>
          <c:tx>
            <c:strRef>
              <c:f>'WAGR Recycling Variations'!$A$317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Variations'!$B$310:$D$310</c:f>
              <c:strCache>
                <c:ptCount val="3"/>
                <c:pt idx="0">
                  <c:v>Final Ref Case</c:v>
                </c:pt>
                <c:pt idx="1">
                  <c:v>x4 Slag</c:v>
                </c:pt>
                <c:pt idx="2">
                  <c:v>x4 Slag Crushing</c:v>
                </c:pt>
              </c:strCache>
            </c:strRef>
          </c:cat>
          <c:val>
            <c:numRef>
              <c:f>'WAGR Recycling Variations'!$B$317:$D$317</c:f>
              <c:numCache>
                <c:formatCode>0.00E+00</c:formatCode>
                <c:ptCount val="3"/>
                <c:pt idx="0">
                  <c:v>4550</c:v>
                </c:pt>
                <c:pt idx="1">
                  <c:v>4550</c:v>
                </c:pt>
                <c:pt idx="2">
                  <c:v>4550</c:v>
                </c:pt>
              </c:numCache>
            </c:numRef>
          </c:val>
        </c:ser>
        <c:ser>
          <c:idx val="7"/>
          <c:order val="7"/>
          <c:tx>
            <c:strRef>
              <c:f>'WAGR Recycling Variations'!$A$318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Variations'!$B$310:$D$310</c:f>
              <c:strCache>
                <c:ptCount val="3"/>
                <c:pt idx="0">
                  <c:v>Final Ref Case</c:v>
                </c:pt>
                <c:pt idx="1">
                  <c:v>x4 Slag</c:v>
                </c:pt>
                <c:pt idx="2">
                  <c:v>x4 Slag Crushing</c:v>
                </c:pt>
              </c:strCache>
            </c:strRef>
          </c:cat>
          <c:val>
            <c:numRef>
              <c:f>'WAGR Recycling Variations'!$B$318:$D$318</c:f>
              <c:numCache>
                <c:formatCode>0.00E+00</c:formatCode>
                <c:ptCount val="3"/>
                <c:pt idx="0">
                  <c:v>3757</c:v>
                </c:pt>
                <c:pt idx="1">
                  <c:v>12183</c:v>
                </c:pt>
                <c:pt idx="2">
                  <c:v>6217</c:v>
                </c:pt>
              </c:numCache>
            </c:numRef>
          </c:val>
        </c:ser>
        <c:ser>
          <c:idx val="8"/>
          <c:order val="8"/>
          <c:tx>
            <c:strRef>
              <c:f>'WAGR Recycling Variations'!$A$319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Variations'!$B$310:$D$310</c:f>
              <c:strCache>
                <c:ptCount val="3"/>
                <c:pt idx="0">
                  <c:v>Final Ref Case</c:v>
                </c:pt>
                <c:pt idx="1">
                  <c:v>x4 Slag</c:v>
                </c:pt>
                <c:pt idx="2">
                  <c:v>x4 Slag Crushing</c:v>
                </c:pt>
              </c:strCache>
            </c:strRef>
          </c:cat>
          <c:val>
            <c:numRef>
              <c:f>'WAGR Recycling Variations'!$B$319:$D$319</c:f>
              <c:numCache>
                <c:formatCode>0.00E+00</c:formatCode>
                <c:ptCount val="3"/>
                <c:pt idx="0">
                  <c:v>-73600</c:v>
                </c:pt>
                <c:pt idx="1">
                  <c:v>-73600</c:v>
                </c:pt>
                <c:pt idx="2">
                  <c:v>-73600</c:v>
                </c:pt>
              </c:numCache>
            </c:numRef>
          </c:val>
        </c:ser>
        <c:ser>
          <c:idx val="9"/>
          <c:order val="9"/>
          <c:tx>
            <c:strRef>
              <c:f>'WAGR Recycling Variations'!$A$320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Variations'!$B$310:$D$310</c:f>
              <c:strCache>
                <c:ptCount val="3"/>
                <c:pt idx="0">
                  <c:v>Final Ref Case</c:v>
                </c:pt>
                <c:pt idx="1">
                  <c:v>x4 Slag</c:v>
                </c:pt>
                <c:pt idx="2">
                  <c:v>x4 Slag Crushing</c:v>
                </c:pt>
              </c:strCache>
            </c:strRef>
          </c:cat>
          <c:val>
            <c:numRef>
              <c:f>'WAGR Recycling Variations'!$B$320:$D$320</c:f>
              <c:numCache>
                <c:formatCode>0.00E+00</c:formatCode>
                <c:ptCount val="3"/>
                <c:pt idx="0">
                  <c:v>5252</c:v>
                </c:pt>
                <c:pt idx="1">
                  <c:v>5252</c:v>
                </c:pt>
                <c:pt idx="2">
                  <c:v>5252</c:v>
                </c:pt>
              </c:numCache>
            </c:numRef>
          </c:val>
        </c:ser>
        <c:ser>
          <c:idx val="10"/>
          <c:order val="10"/>
          <c:tx>
            <c:strRef>
              <c:f>'WAGR Recycling Variations'!$A$321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Variations'!$B$310:$D$310</c:f>
              <c:strCache>
                <c:ptCount val="3"/>
                <c:pt idx="0">
                  <c:v>Final Ref Case</c:v>
                </c:pt>
                <c:pt idx="1">
                  <c:v>x4 Slag</c:v>
                </c:pt>
                <c:pt idx="2">
                  <c:v>x4 Slag Crushing</c:v>
                </c:pt>
              </c:strCache>
            </c:strRef>
          </c:cat>
          <c:val>
            <c:numRef>
              <c:f>'WAGR Recycling Variations'!$B$321:$D$321</c:f>
              <c:numCache>
                <c:formatCode>0.00E+00</c:formatCode>
                <c:ptCount val="3"/>
                <c:pt idx="0">
                  <c:v>320.7</c:v>
                </c:pt>
                <c:pt idx="1">
                  <c:v>320.7</c:v>
                </c:pt>
                <c:pt idx="2">
                  <c:v>320.7</c:v>
                </c:pt>
              </c:numCache>
            </c:numRef>
          </c:val>
        </c:ser>
        <c:ser>
          <c:idx val="11"/>
          <c:order val="11"/>
          <c:tx>
            <c:strRef>
              <c:f>'WAGR Recycling Variations'!$A$322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Variations'!$B$310:$D$310</c:f>
              <c:strCache>
                <c:ptCount val="3"/>
                <c:pt idx="0">
                  <c:v>Final Ref Case</c:v>
                </c:pt>
                <c:pt idx="1">
                  <c:v>x4 Slag</c:v>
                </c:pt>
                <c:pt idx="2">
                  <c:v>x4 Slag Crushing</c:v>
                </c:pt>
              </c:strCache>
            </c:strRef>
          </c:cat>
          <c:val>
            <c:numRef>
              <c:f>'WAGR Recycling Variations'!$B$322:$D$322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overlap val="100"/>
        <c:axId val="65901696"/>
        <c:axId val="65903616"/>
      </c:barChart>
      <c:catAx>
        <c:axId val="659016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Containerised Recycling Slag and Slag Crushing Variation</a:t>
                </a:r>
              </a:p>
            </c:rich>
          </c:tx>
          <c:layout>
            <c:manualLayout>
              <c:xMode val="edge"/>
              <c:yMode val="edge"/>
              <c:x val="0.33137251782921073"/>
              <c:y val="0.88703058185142591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903616"/>
        <c:crosses val="autoZero"/>
        <c:auto val="1"/>
        <c:lblAlgn val="ctr"/>
        <c:lblOffset val="100"/>
        <c:tickLblSkip val="1"/>
        <c:tickMarkSkip val="1"/>
      </c:catAx>
      <c:valAx>
        <c:axId val="659036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549024806242654E-2"/>
              <c:y val="0.31380783862691319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90169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573355817875211"/>
          <c:y val="1.9718336980547122E-2"/>
          <c:w val="0.65598650927487356"/>
          <c:h val="0.1690143169761182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218571314225301"/>
          <c:y val="0.15126058178330504"/>
          <c:w val="0.86847215863572103"/>
          <c:h val="0.69747934933412603"/>
        </c:manualLayout>
      </c:layout>
      <c:barChart>
        <c:barDir val="col"/>
        <c:grouping val="clustered"/>
        <c:ser>
          <c:idx val="0"/>
          <c:order val="0"/>
          <c:tx>
            <c:strRef>
              <c:f>'WAGR Recycling Variations'!$B$326</c:f>
              <c:strCache>
                <c:ptCount val="1"/>
                <c:pt idx="0">
                  <c:v>Final Ref Case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Variations'!$A$327:$A$337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Variations'!$B$327:$B$337</c:f>
              <c:numCache>
                <c:formatCode>0.00</c:formatCode>
                <c:ptCount val="11"/>
                <c:pt idx="0">
                  <c:v>21.9</c:v>
                </c:pt>
                <c:pt idx="1">
                  <c:v>4.1599999999999996E-3</c:v>
                </c:pt>
                <c:pt idx="2">
                  <c:v>-130</c:v>
                </c:pt>
                <c:pt idx="3">
                  <c:v>-14.6</c:v>
                </c:pt>
                <c:pt idx="4">
                  <c:v>0.35399999999999998</c:v>
                </c:pt>
                <c:pt idx="5">
                  <c:v>2.8600000000000001E-3</c:v>
                </c:pt>
                <c:pt idx="6">
                  <c:v>10.3</c:v>
                </c:pt>
                <c:pt idx="7">
                  <c:v>-0.67300000000000004</c:v>
                </c:pt>
                <c:pt idx="8">
                  <c:v>-0.26300000000000001</c:v>
                </c:pt>
                <c:pt idx="9">
                  <c:v>-24.8</c:v>
                </c:pt>
                <c:pt idx="10">
                  <c:v>24.7</c:v>
                </c:pt>
              </c:numCache>
            </c:numRef>
          </c:val>
        </c:ser>
        <c:ser>
          <c:idx val="1"/>
          <c:order val="1"/>
          <c:tx>
            <c:strRef>
              <c:f>'WAGR Recycling Variations'!$C$326</c:f>
              <c:strCache>
                <c:ptCount val="1"/>
                <c:pt idx="0">
                  <c:v>x4 Slag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Variations'!$A$327:$A$337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Variations'!$C$327:$C$337</c:f>
              <c:numCache>
                <c:formatCode>0.00</c:formatCode>
                <c:ptCount val="11"/>
                <c:pt idx="0">
                  <c:v>22.1</c:v>
                </c:pt>
                <c:pt idx="1">
                  <c:v>7.43E-3</c:v>
                </c:pt>
                <c:pt idx="2">
                  <c:v>-113</c:v>
                </c:pt>
                <c:pt idx="3">
                  <c:v>-13.6</c:v>
                </c:pt>
                <c:pt idx="4">
                  <c:v>0.35599999999999998</c:v>
                </c:pt>
                <c:pt idx="5">
                  <c:v>2.99E-3</c:v>
                </c:pt>
                <c:pt idx="6">
                  <c:v>10.5</c:v>
                </c:pt>
                <c:pt idx="7">
                  <c:v>-0.47299999999999998</c:v>
                </c:pt>
                <c:pt idx="8">
                  <c:v>-0.214</c:v>
                </c:pt>
                <c:pt idx="9">
                  <c:v>-24.2</c:v>
                </c:pt>
                <c:pt idx="10">
                  <c:v>27</c:v>
                </c:pt>
              </c:numCache>
            </c:numRef>
          </c:val>
        </c:ser>
        <c:ser>
          <c:idx val="2"/>
          <c:order val="2"/>
          <c:tx>
            <c:strRef>
              <c:f>'WAGR Recycling Variations'!$D$326</c:f>
              <c:strCache>
                <c:ptCount val="1"/>
                <c:pt idx="0">
                  <c:v>x4 Slag Crushing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Variations'!$A$327:$A$337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Variations'!$D$327:$D$337</c:f>
              <c:numCache>
                <c:formatCode>0.00</c:formatCode>
                <c:ptCount val="11"/>
                <c:pt idx="0">
                  <c:v>21.9</c:v>
                </c:pt>
                <c:pt idx="1">
                  <c:v>5.1200000000000004E-3</c:v>
                </c:pt>
                <c:pt idx="2">
                  <c:v>-125</c:v>
                </c:pt>
                <c:pt idx="3">
                  <c:v>-14.3</c:v>
                </c:pt>
                <c:pt idx="4">
                  <c:v>0.35499999999999998</c:v>
                </c:pt>
                <c:pt idx="5">
                  <c:v>2.8999999999999998E-3</c:v>
                </c:pt>
                <c:pt idx="6">
                  <c:v>10.4</c:v>
                </c:pt>
                <c:pt idx="7">
                  <c:v>-0.61399999999999999</c:v>
                </c:pt>
                <c:pt idx="8">
                  <c:v>-0.249</c:v>
                </c:pt>
                <c:pt idx="9">
                  <c:v>-24.6</c:v>
                </c:pt>
                <c:pt idx="10">
                  <c:v>25.4</c:v>
                </c:pt>
              </c:numCache>
            </c:numRef>
          </c:val>
        </c:ser>
        <c:axId val="65954176"/>
        <c:axId val="65956096"/>
      </c:barChart>
      <c:catAx>
        <c:axId val="659541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Containerised Recycling Impact Category</a:t>
                </a:r>
              </a:p>
            </c:rich>
          </c:tx>
          <c:layout>
            <c:manualLayout>
              <c:xMode val="edge"/>
              <c:yMode val="edge"/>
              <c:x val="0.3859652351469422"/>
              <c:y val="0.886554886521537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956096"/>
        <c:crosses val="autoZero"/>
        <c:auto val="1"/>
        <c:lblAlgn val="ctr"/>
        <c:lblOffset val="100"/>
        <c:tickLblSkip val="1"/>
        <c:tickMarkSkip val="1"/>
      </c:catAx>
      <c:valAx>
        <c:axId val="65956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5341097805178361E-2"/>
              <c:y val="0.34873984869538366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95417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966587817617821"/>
          <c:y val="2.9411806944805469E-2"/>
          <c:w val="0.2943146215858049"/>
          <c:h val="6.176479458409148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284069097888702"/>
          <c:y val="0.14937744203692105"/>
          <c:w val="0.85796545105566202"/>
          <c:h val="0.70124410289554506"/>
        </c:manualLayout>
      </c:layout>
      <c:barChart>
        <c:barDir val="col"/>
        <c:grouping val="clustered"/>
        <c:ser>
          <c:idx val="0"/>
          <c:order val="0"/>
          <c:tx>
            <c:strRef>
              <c:f>'WAGR Recycling Variations'!$B$339</c:f>
              <c:strCache>
                <c:ptCount val="1"/>
                <c:pt idx="0">
                  <c:v>Final Ref Case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Variations'!$A$340:$A$350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Variations'!$B$340:$B$350</c:f>
              <c:numCache>
                <c:formatCode>General</c:formatCode>
                <c:ptCount val="11"/>
                <c:pt idx="0" formatCode="0.00E+00">
                  <c:v>8740</c:v>
                </c:pt>
                <c:pt idx="1">
                  <c:v>1.66</c:v>
                </c:pt>
                <c:pt idx="2" formatCode="0.00E+00">
                  <c:v>-52200</c:v>
                </c:pt>
                <c:pt idx="3" formatCode="0.00E+00">
                  <c:v>-5830</c:v>
                </c:pt>
                <c:pt idx="4" formatCode="0.00E+00">
                  <c:v>142</c:v>
                </c:pt>
                <c:pt idx="5">
                  <c:v>1.1399999999999999</c:v>
                </c:pt>
                <c:pt idx="6" formatCode="0.00E+00">
                  <c:v>4110</c:v>
                </c:pt>
                <c:pt idx="7" formatCode="0.00E+00">
                  <c:v>-269</c:v>
                </c:pt>
                <c:pt idx="8" formatCode="0.00E+00">
                  <c:v>-105</c:v>
                </c:pt>
                <c:pt idx="9" formatCode="0.00E+00">
                  <c:v>-4960</c:v>
                </c:pt>
                <c:pt idx="10" formatCode="0.00E+00">
                  <c:v>4940</c:v>
                </c:pt>
              </c:numCache>
            </c:numRef>
          </c:val>
        </c:ser>
        <c:ser>
          <c:idx val="1"/>
          <c:order val="1"/>
          <c:tx>
            <c:strRef>
              <c:f>'WAGR Recycling Variations'!$C$339</c:f>
              <c:strCache>
                <c:ptCount val="1"/>
                <c:pt idx="0">
                  <c:v>x4 Slag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Variations'!$A$340:$A$350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Variations'!$C$340:$C$350</c:f>
              <c:numCache>
                <c:formatCode>General</c:formatCode>
                <c:ptCount val="11"/>
                <c:pt idx="0" formatCode="0.00E+00">
                  <c:v>8840</c:v>
                </c:pt>
                <c:pt idx="1">
                  <c:v>2.97</c:v>
                </c:pt>
                <c:pt idx="2" formatCode="0.00E+00">
                  <c:v>-45100</c:v>
                </c:pt>
                <c:pt idx="3" formatCode="0.00E+00">
                  <c:v>-5440</c:v>
                </c:pt>
                <c:pt idx="4" formatCode="0.00E+00">
                  <c:v>143</c:v>
                </c:pt>
                <c:pt idx="5" formatCode="0.00E+00">
                  <c:v>1.2</c:v>
                </c:pt>
                <c:pt idx="6" formatCode="0.00E+00">
                  <c:v>4210</c:v>
                </c:pt>
                <c:pt idx="7" formatCode="0.00E+00">
                  <c:v>-189</c:v>
                </c:pt>
                <c:pt idx="8" formatCode="0.00E+00">
                  <c:v>-85.5</c:v>
                </c:pt>
                <c:pt idx="9" formatCode="0.00E+00">
                  <c:v>-4830</c:v>
                </c:pt>
                <c:pt idx="10" formatCode="0.00E+00">
                  <c:v>5410</c:v>
                </c:pt>
              </c:numCache>
            </c:numRef>
          </c:val>
        </c:ser>
        <c:ser>
          <c:idx val="2"/>
          <c:order val="2"/>
          <c:tx>
            <c:strRef>
              <c:f>'WAGR Recycling Variations'!$D$339</c:f>
              <c:strCache>
                <c:ptCount val="1"/>
                <c:pt idx="0">
                  <c:v>x4 Slag Crushing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Variations'!$A$340:$A$350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Variations'!$D$340:$D$350</c:f>
              <c:numCache>
                <c:formatCode>General</c:formatCode>
                <c:ptCount val="11"/>
                <c:pt idx="0" formatCode="0.00E+00">
                  <c:v>8770</c:v>
                </c:pt>
                <c:pt idx="1">
                  <c:v>2.0499999999999998</c:v>
                </c:pt>
                <c:pt idx="2" formatCode="0.00E+00">
                  <c:v>-50100</c:v>
                </c:pt>
                <c:pt idx="3" formatCode="0.00E+00">
                  <c:v>-5720</c:v>
                </c:pt>
                <c:pt idx="4" formatCode="0.00E+00">
                  <c:v>142</c:v>
                </c:pt>
                <c:pt idx="5">
                  <c:v>1.1599999999999999</c:v>
                </c:pt>
                <c:pt idx="6" formatCode="0.00E+00">
                  <c:v>4140</c:v>
                </c:pt>
                <c:pt idx="7" formatCode="0.00E+00">
                  <c:v>-246</c:v>
                </c:pt>
                <c:pt idx="8" formatCode="0.00E+00">
                  <c:v>-99.5</c:v>
                </c:pt>
                <c:pt idx="9" formatCode="0.00E+00">
                  <c:v>-4920</c:v>
                </c:pt>
                <c:pt idx="10" formatCode="0.00E+00">
                  <c:v>5080</c:v>
                </c:pt>
              </c:numCache>
            </c:numRef>
          </c:val>
        </c:ser>
        <c:axId val="65998208"/>
        <c:axId val="66000384"/>
      </c:barChart>
      <c:catAx>
        <c:axId val="659982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Containerised Recycling Impact Category</a:t>
                </a:r>
              </a:p>
            </c:rich>
          </c:tx>
          <c:layout>
            <c:manualLayout>
              <c:xMode val="edge"/>
              <c:yMode val="edge"/>
              <c:x val="0.39534859467069927"/>
              <c:y val="0.88842990001972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000384"/>
        <c:crosses val="autoZero"/>
        <c:auto val="1"/>
        <c:lblAlgn val="ctr"/>
        <c:lblOffset val="100"/>
        <c:tickLblSkip val="1"/>
        <c:tickMarkSkip val="1"/>
      </c:catAx>
      <c:valAx>
        <c:axId val="660003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5193895465053621E-2"/>
              <c:y val="0.26859526952194557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99820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072847682119205"/>
          <c:y val="2.8901734104046242E-2"/>
          <c:w val="0.27649006622516559"/>
          <c:h val="6.069364161849710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3076865292187"/>
          <c:y val="0.24489759312580703"/>
          <c:w val="0.85769190500492709"/>
          <c:h val="0.60408072971032489"/>
        </c:manualLayout>
      </c:layout>
      <c:barChart>
        <c:barDir val="col"/>
        <c:grouping val="stacked"/>
        <c:ser>
          <c:idx val="0"/>
          <c:order val="0"/>
          <c:tx>
            <c:strRef>
              <c:f>'WAGR Recycling Variations'!$A$355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Variations'!$B$354:$D$354</c:f>
              <c:strCache>
                <c:ptCount val="3"/>
                <c:pt idx="0">
                  <c:v>Final Ref Case Medium Voltage + Import</c:v>
                </c:pt>
                <c:pt idx="1">
                  <c:v>High Voltage + Import</c:v>
                </c:pt>
                <c:pt idx="2">
                  <c:v>Low Voltage + Import</c:v>
                </c:pt>
              </c:strCache>
            </c:strRef>
          </c:cat>
          <c:val>
            <c:numRef>
              <c:f>'WAGR Recycling Variations'!$B$355:$D$355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Recycling Variations'!$A$356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Variations'!$B$354:$D$354</c:f>
              <c:strCache>
                <c:ptCount val="3"/>
                <c:pt idx="0">
                  <c:v>Final Ref Case Medium Voltage + Import</c:v>
                </c:pt>
                <c:pt idx="1">
                  <c:v>High Voltage + Import</c:v>
                </c:pt>
                <c:pt idx="2">
                  <c:v>Low Voltage + Import</c:v>
                </c:pt>
              </c:strCache>
            </c:strRef>
          </c:cat>
          <c:val>
            <c:numRef>
              <c:f>'WAGR Recycling Variations'!$B$356:$D$356</c:f>
              <c:numCache>
                <c:formatCode>0.00E+00</c:formatCode>
                <c:ptCount val="3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</c:numCache>
            </c:numRef>
          </c:val>
        </c:ser>
        <c:ser>
          <c:idx val="2"/>
          <c:order val="2"/>
          <c:tx>
            <c:strRef>
              <c:f>'WAGR Recycling Variations'!$A$357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Variations'!$B$354:$D$354</c:f>
              <c:strCache>
                <c:ptCount val="3"/>
                <c:pt idx="0">
                  <c:v>Final Ref Case Medium Voltage + Import</c:v>
                </c:pt>
                <c:pt idx="1">
                  <c:v>High Voltage + Import</c:v>
                </c:pt>
                <c:pt idx="2">
                  <c:v>Low Voltage + Import</c:v>
                </c:pt>
              </c:strCache>
            </c:strRef>
          </c:cat>
          <c:val>
            <c:numRef>
              <c:f>'WAGR Recycling Variations'!$B$357:$D$357</c:f>
              <c:numCache>
                <c:formatCode>0.00E+00</c:formatCode>
                <c:ptCount val="3"/>
                <c:pt idx="0">
                  <c:v>923</c:v>
                </c:pt>
                <c:pt idx="1">
                  <c:v>923</c:v>
                </c:pt>
                <c:pt idx="2">
                  <c:v>923</c:v>
                </c:pt>
              </c:numCache>
            </c:numRef>
          </c:val>
        </c:ser>
        <c:ser>
          <c:idx val="3"/>
          <c:order val="3"/>
          <c:tx>
            <c:strRef>
              <c:f>'WAGR Recycling Variations'!$A$358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Variations'!$B$354:$D$354</c:f>
              <c:strCache>
                <c:ptCount val="3"/>
                <c:pt idx="0">
                  <c:v>Final Ref Case Medium Voltage + Import</c:v>
                </c:pt>
                <c:pt idx="1">
                  <c:v>High Voltage + Import</c:v>
                </c:pt>
                <c:pt idx="2">
                  <c:v>Low Voltage + Import</c:v>
                </c:pt>
              </c:strCache>
            </c:strRef>
          </c:cat>
          <c:val>
            <c:numRef>
              <c:f>'WAGR Recycling Variations'!$B$358:$D$358</c:f>
              <c:numCache>
                <c:formatCode>0.00E+00</c:formatCode>
                <c:ptCount val="3"/>
                <c:pt idx="0">
                  <c:v>1506</c:v>
                </c:pt>
                <c:pt idx="1">
                  <c:v>1506</c:v>
                </c:pt>
                <c:pt idx="2">
                  <c:v>1506</c:v>
                </c:pt>
              </c:numCache>
            </c:numRef>
          </c:val>
        </c:ser>
        <c:ser>
          <c:idx val="4"/>
          <c:order val="4"/>
          <c:tx>
            <c:strRef>
              <c:f>'WAGR Recycling Variations'!$A$359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Variations'!$B$354:$D$354</c:f>
              <c:strCache>
                <c:ptCount val="3"/>
                <c:pt idx="0">
                  <c:v>Final Ref Case Medium Voltage + Import</c:v>
                </c:pt>
                <c:pt idx="1">
                  <c:v>High Voltage + Import</c:v>
                </c:pt>
                <c:pt idx="2">
                  <c:v>Low Voltage + Import</c:v>
                </c:pt>
              </c:strCache>
            </c:strRef>
          </c:cat>
          <c:val>
            <c:numRef>
              <c:f>'WAGR Recycling Variations'!$B$359:$D$359</c:f>
              <c:numCache>
                <c:formatCode>0.00E+00</c:formatCode>
                <c:ptCount val="3"/>
                <c:pt idx="0">
                  <c:v>4076</c:v>
                </c:pt>
                <c:pt idx="1">
                  <c:v>4076</c:v>
                </c:pt>
                <c:pt idx="2">
                  <c:v>4076</c:v>
                </c:pt>
              </c:numCache>
            </c:numRef>
          </c:val>
        </c:ser>
        <c:ser>
          <c:idx val="5"/>
          <c:order val="5"/>
          <c:tx>
            <c:strRef>
              <c:f>'WAGR Recycling Variations'!$A$360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Variations'!$B$354:$D$354</c:f>
              <c:strCache>
                <c:ptCount val="3"/>
                <c:pt idx="0">
                  <c:v>Final Ref Case Medium Voltage + Import</c:v>
                </c:pt>
                <c:pt idx="1">
                  <c:v>High Voltage + Import</c:v>
                </c:pt>
                <c:pt idx="2">
                  <c:v>Low Voltage + Import</c:v>
                </c:pt>
              </c:strCache>
            </c:strRef>
          </c:cat>
          <c:val>
            <c:numRef>
              <c:f>'WAGR Recycling Variations'!$B$360:$D$360</c:f>
              <c:numCache>
                <c:formatCode>0.00E+00</c:formatCode>
                <c:ptCount val="3"/>
                <c:pt idx="0">
                  <c:v>3234</c:v>
                </c:pt>
                <c:pt idx="1">
                  <c:v>3234</c:v>
                </c:pt>
                <c:pt idx="2">
                  <c:v>3234</c:v>
                </c:pt>
              </c:numCache>
            </c:numRef>
          </c:val>
        </c:ser>
        <c:ser>
          <c:idx val="6"/>
          <c:order val="6"/>
          <c:tx>
            <c:strRef>
              <c:f>'WAGR Recycling Variations'!$A$361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Variations'!$B$354:$D$354</c:f>
              <c:strCache>
                <c:ptCount val="3"/>
                <c:pt idx="0">
                  <c:v>Final Ref Case Medium Voltage + Import</c:v>
                </c:pt>
                <c:pt idx="1">
                  <c:v>High Voltage + Import</c:v>
                </c:pt>
                <c:pt idx="2">
                  <c:v>Low Voltage + Import</c:v>
                </c:pt>
              </c:strCache>
            </c:strRef>
          </c:cat>
          <c:val>
            <c:numRef>
              <c:f>'WAGR Recycling Variations'!$B$361:$D$361</c:f>
              <c:numCache>
                <c:formatCode>0.00E+00</c:formatCode>
                <c:ptCount val="3"/>
                <c:pt idx="0">
                  <c:v>4550</c:v>
                </c:pt>
                <c:pt idx="1">
                  <c:v>4350</c:v>
                </c:pt>
                <c:pt idx="2">
                  <c:v>6210</c:v>
                </c:pt>
              </c:numCache>
            </c:numRef>
          </c:val>
        </c:ser>
        <c:ser>
          <c:idx val="7"/>
          <c:order val="7"/>
          <c:tx>
            <c:strRef>
              <c:f>'WAGR Recycling Variations'!$A$362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Variations'!$B$354:$D$354</c:f>
              <c:strCache>
                <c:ptCount val="3"/>
                <c:pt idx="0">
                  <c:v>Final Ref Case Medium Voltage + Import</c:v>
                </c:pt>
                <c:pt idx="1">
                  <c:v>High Voltage + Import</c:v>
                </c:pt>
                <c:pt idx="2">
                  <c:v>Low Voltage + Import</c:v>
                </c:pt>
              </c:strCache>
            </c:strRef>
          </c:cat>
          <c:val>
            <c:numRef>
              <c:f>'WAGR Recycling Variations'!$B$362:$D$362</c:f>
              <c:numCache>
                <c:formatCode>0.00E+00</c:formatCode>
                <c:ptCount val="3"/>
                <c:pt idx="0">
                  <c:v>4169</c:v>
                </c:pt>
                <c:pt idx="1">
                  <c:v>4169</c:v>
                </c:pt>
                <c:pt idx="2">
                  <c:v>4169</c:v>
                </c:pt>
              </c:numCache>
            </c:numRef>
          </c:val>
        </c:ser>
        <c:ser>
          <c:idx val="8"/>
          <c:order val="8"/>
          <c:tx>
            <c:strRef>
              <c:f>'WAGR Recycling Variations'!$A$363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Variations'!$B$354:$D$354</c:f>
              <c:strCache>
                <c:ptCount val="3"/>
                <c:pt idx="0">
                  <c:v>Final Ref Case Medium Voltage + Import</c:v>
                </c:pt>
                <c:pt idx="1">
                  <c:v>High Voltage + Import</c:v>
                </c:pt>
                <c:pt idx="2">
                  <c:v>Low Voltage + Import</c:v>
                </c:pt>
              </c:strCache>
            </c:strRef>
          </c:cat>
          <c:val>
            <c:numRef>
              <c:f>'WAGR Recycling Variations'!$B$363:$D$363</c:f>
              <c:numCache>
                <c:formatCode>0.00E+00</c:formatCode>
                <c:ptCount val="3"/>
                <c:pt idx="0">
                  <c:v>-73600</c:v>
                </c:pt>
                <c:pt idx="1">
                  <c:v>-73600</c:v>
                </c:pt>
                <c:pt idx="2">
                  <c:v>-73600</c:v>
                </c:pt>
              </c:numCache>
            </c:numRef>
          </c:val>
        </c:ser>
        <c:ser>
          <c:idx val="9"/>
          <c:order val="9"/>
          <c:tx>
            <c:strRef>
              <c:f>'WAGR Recycling Variations'!$A$364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Variations'!$B$354:$D$354</c:f>
              <c:strCache>
                <c:ptCount val="3"/>
                <c:pt idx="0">
                  <c:v>Final Ref Case Medium Voltage + Import</c:v>
                </c:pt>
                <c:pt idx="1">
                  <c:v>High Voltage + Import</c:v>
                </c:pt>
                <c:pt idx="2">
                  <c:v>Low Voltage + Import</c:v>
                </c:pt>
              </c:strCache>
            </c:strRef>
          </c:cat>
          <c:val>
            <c:numRef>
              <c:f>'WAGR Recycling Variations'!$B$364:$D$364</c:f>
              <c:numCache>
                <c:formatCode>0.00E+00</c:formatCode>
                <c:ptCount val="3"/>
                <c:pt idx="0">
                  <c:v>5252</c:v>
                </c:pt>
                <c:pt idx="1">
                  <c:v>5252</c:v>
                </c:pt>
                <c:pt idx="2">
                  <c:v>5252</c:v>
                </c:pt>
              </c:numCache>
            </c:numRef>
          </c:val>
        </c:ser>
        <c:ser>
          <c:idx val="10"/>
          <c:order val="10"/>
          <c:tx>
            <c:strRef>
              <c:f>'WAGR Recycling Variations'!$A$365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Variations'!$B$354:$D$354</c:f>
              <c:strCache>
                <c:ptCount val="3"/>
                <c:pt idx="0">
                  <c:v>Final Ref Case Medium Voltage + Import</c:v>
                </c:pt>
                <c:pt idx="1">
                  <c:v>High Voltage + Import</c:v>
                </c:pt>
                <c:pt idx="2">
                  <c:v>Low Voltage + Import</c:v>
                </c:pt>
              </c:strCache>
            </c:strRef>
          </c:cat>
          <c:val>
            <c:numRef>
              <c:f>'WAGR Recycling Variations'!$B$365:$D$365</c:f>
              <c:numCache>
                <c:formatCode>0.00E+00</c:formatCode>
                <c:ptCount val="3"/>
                <c:pt idx="0">
                  <c:v>320.7</c:v>
                </c:pt>
                <c:pt idx="1">
                  <c:v>320.7</c:v>
                </c:pt>
                <c:pt idx="2">
                  <c:v>320.7</c:v>
                </c:pt>
              </c:numCache>
            </c:numRef>
          </c:val>
        </c:ser>
        <c:ser>
          <c:idx val="11"/>
          <c:order val="11"/>
          <c:tx>
            <c:strRef>
              <c:f>'WAGR Recycling Variations'!$A$366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Variations'!$B$354:$D$354</c:f>
              <c:strCache>
                <c:ptCount val="3"/>
                <c:pt idx="0">
                  <c:v>Final Ref Case Medium Voltage + Import</c:v>
                </c:pt>
                <c:pt idx="1">
                  <c:v>High Voltage + Import</c:v>
                </c:pt>
                <c:pt idx="2">
                  <c:v>Low Voltage + Import</c:v>
                </c:pt>
              </c:strCache>
            </c:strRef>
          </c:cat>
          <c:val>
            <c:numRef>
              <c:f>'WAGR Recycling Variations'!$B$366:$D$366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overlap val="100"/>
        <c:axId val="66152320"/>
        <c:axId val="66170880"/>
      </c:barChart>
      <c:catAx>
        <c:axId val="661523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Melting Voltage Options</a:t>
                </a:r>
              </a:p>
            </c:rich>
          </c:tx>
          <c:layout>
            <c:manualLayout>
              <c:xMode val="edge"/>
              <c:yMode val="edge"/>
              <c:x val="0.46407733859138256"/>
              <c:y val="0.89024335273308219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170880"/>
        <c:crosses val="autoZero"/>
        <c:auto val="1"/>
        <c:lblAlgn val="ctr"/>
        <c:lblOffset val="100"/>
        <c:tickLblSkip val="1"/>
        <c:tickMarkSkip val="1"/>
      </c:catAx>
      <c:valAx>
        <c:axId val="661708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5242640689814272E-2"/>
              <c:y val="0.3170732055232226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15232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66367489323386"/>
          <c:y val="4.087198898372172E-2"/>
          <c:w val="0.64842559407648293"/>
          <c:h val="0.1634879559348868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Radioactive Waste Metals</a:t>
            </a:r>
          </a:p>
        </c:rich>
      </c:tx>
      <c:layout>
        <c:manualLayout>
          <c:xMode val="edge"/>
          <c:yMode val="edge"/>
          <c:x val="0.37566194681196302"/>
          <c:y val="3.153149936862426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361423633640109E-2"/>
          <c:y val="0.12052136432678301"/>
          <c:w val="0.68674681961566508"/>
          <c:h val="0.72964285430268716"/>
        </c:manualLayout>
      </c:layout>
      <c:barChart>
        <c:barDir val="col"/>
        <c:grouping val="stacked"/>
        <c:ser>
          <c:idx val="0"/>
          <c:order val="0"/>
          <c:tx>
            <c:strRef>
              <c:f>'General metal graphs'!$A$78</c:f>
              <c:strCache>
                <c:ptCount val="1"/>
                <c:pt idx="0">
                  <c:v>Ferrous Metals HLW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graphs'!$B$77:$E$77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graphs'!$B$78:$E$78</c:f>
              <c:numCache>
                <c:formatCode>General</c:formatCode>
                <c:ptCount val="4"/>
                <c:pt idx="0">
                  <c:v>266</c:v>
                </c:pt>
                <c:pt idx="1">
                  <c:v>153</c:v>
                </c:pt>
                <c:pt idx="2">
                  <c:v>150</c:v>
                </c:pt>
                <c:pt idx="3">
                  <c:v>8.5</c:v>
                </c:pt>
              </c:numCache>
            </c:numRef>
          </c:val>
        </c:ser>
        <c:ser>
          <c:idx val="1"/>
          <c:order val="1"/>
          <c:tx>
            <c:strRef>
              <c:f>'General metal graphs'!$A$79</c:f>
              <c:strCache>
                <c:ptCount val="1"/>
                <c:pt idx="0">
                  <c:v>Magnox/Magnesium HLW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graphs'!$B$77:$E$77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graphs'!$B$79:$E$79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'General metal graphs'!$A$80</c:f>
              <c:strCache>
                <c:ptCount val="1"/>
                <c:pt idx="0">
                  <c:v>Aluminium HLW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graphs'!$B$77:$E$77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graphs'!$B$80:$E$80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'General metal graphs'!$A$81</c:f>
              <c:strCache>
                <c:ptCount val="1"/>
                <c:pt idx="0">
                  <c:v>Zircaloy/Zirconium HLW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graphs'!$B$77:$E$77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graphs'!$B$81:$E$81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'General metal graphs'!$A$82</c:f>
              <c:strCache>
                <c:ptCount val="1"/>
                <c:pt idx="0">
                  <c:v>Other metals HLW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graphs'!$B$77:$E$77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graphs'!$B$82:$E$82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91</c:v>
                </c:pt>
              </c:numCache>
            </c:numRef>
          </c:val>
        </c:ser>
        <c:ser>
          <c:idx val="5"/>
          <c:order val="5"/>
          <c:tx>
            <c:strRef>
              <c:f>'General metal graphs'!$A$83</c:f>
              <c:strCache>
                <c:ptCount val="1"/>
                <c:pt idx="0">
                  <c:v>Ferrous Metals ILW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graphs'!$B$77:$E$77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graphs'!$B$83:$E$83</c:f>
              <c:numCache>
                <c:formatCode>General</c:formatCode>
                <c:ptCount val="4"/>
                <c:pt idx="0">
                  <c:v>66400</c:v>
                </c:pt>
                <c:pt idx="1">
                  <c:v>60144</c:v>
                </c:pt>
                <c:pt idx="2">
                  <c:v>61000</c:v>
                </c:pt>
                <c:pt idx="3">
                  <c:v>72000</c:v>
                </c:pt>
              </c:numCache>
            </c:numRef>
          </c:val>
        </c:ser>
        <c:ser>
          <c:idx val="6"/>
          <c:order val="6"/>
          <c:tx>
            <c:strRef>
              <c:f>'General metal graphs'!$A$84</c:f>
              <c:strCache>
                <c:ptCount val="1"/>
                <c:pt idx="0">
                  <c:v>Magnox/Magnesium ILW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graphs'!$B$77:$E$77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graphs'!$B$84:$E$84</c:f>
              <c:numCache>
                <c:formatCode>General</c:formatCode>
                <c:ptCount val="4"/>
                <c:pt idx="0">
                  <c:v>6286</c:v>
                </c:pt>
                <c:pt idx="1">
                  <c:v>7079</c:v>
                </c:pt>
                <c:pt idx="2">
                  <c:v>6900</c:v>
                </c:pt>
                <c:pt idx="3">
                  <c:v>7800</c:v>
                </c:pt>
              </c:numCache>
            </c:numRef>
          </c:val>
        </c:ser>
        <c:ser>
          <c:idx val="7"/>
          <c:order val="7"/>
          <c:tx>
            <c:strRef>
              <c:f>'General metal graphs'!$A$85</c:f>
              <c:strCache>
                <c:ptCount val="1"/>
                <c:pt idx="0">
                  <c:v>Aluminium ILW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graphs'!$B$77:$E$77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graphs'!$B$85:$E$85</c:f>
              <c:numCache>
                <c:formatCode>General</c:formatCode>
                <c:ptCount val="4"/>
                <c:pt idx="0">
                  <c:v>1075</c:v>
                </c:pt>
                <c:pt idx="1">
                  <c:v>1236</c:v>
                </c:pt>
                <c:pt idx="2">
                  <c:v>980</c:v>
                </c:pt>
                <c:pt idx="3">
                  <c:v>1200</c:v>
                </c:pt>
              </c:numCache>
            </c:numRef>
          </c:val>
        </c:ser>
        <c:ser>
          <c:idx val="8"/>
          <c:order val="8"/>
          <c:tx>
            <c:strRef>
              <c:f>'General metal graphs'!$A$86</c:f>
              <c:strCache>
                <c:ptCount val="1"/>
                <c:pt idx="0">
                  <c:v>Zircaloy/Zirconium ILW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graphs'!$B$77:$E$77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graphs'!$B$86:$E$86</c:f>
              <c:numCache>
                <c:formatCode>General</c:formatCode>
                <c:ptCount val="4"/>
                <c:pt idx="0">
                  <c:v>2422</c:v>
                </c:pt>
                <c:pt idx="1">
                  <c:v>2351</c:v>
                </c:pt>
                <c:pt idx="2">
                  <c:v>1400</c:v>
                </c:pt>
                <c:pt idx="3">
                  <c:v>1500</c:v>
                </c:pt>
              </c:numCache>
            </c:numRef>
          </c:val>
        </c:ser>
        <c:ser>
          <c:idx val="9"/>
          <c:order val="9"/>
          <c:tx>
            <c:strRef>
              <c:f>'General metal graphs'!$A$87</c:f>
              <c:strCache>
                <c:ptCount val="1"/>
                <c:pt idx="0">
                  <c:v>Other metals ILW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graphs'!$B$77:$E$77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graphs'!$B$87:$E$87</c:f>
              <c:numCache>
                <c:formatCode>General</c:formatCode>
                <c:ptCount val="4"/>
                <c:pt idx="0">
                  <c:v>2868</c:v>
                </c:pt>
                <c:pt idx="1">
                  <c:v>2636</c:v>
                </c:pt>
                <c:pt idx="2">
                  <c:v>4300</c:v>
                </c:pt>
                <c:pt idx="3">
                  <c:v>3200</c:v>
                </c:pt>
              </c:numCache>
            </c:numRef>
          </c:val>
        </c:ser>
        <c:ser>
          <c:idx val="10"/>
          <c:order val="10"/>
          <c:tx>
            <c:strRef>
              <c:f>'General metal graphs'!$A$88</c:f>
              <c:strCache>
                <c:ptCount val="1"/>
                <c:pt idx="0">
                  <c:v>Ferrous Metals LLW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graphs'!$B$77:$E$77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graphs'!$B$88:$E$88</c:f>
              <c:numCache>
                <c:formatCode>General</c:formatCode>
                <c:ptCount val="4"/>
                <c:pt idx="0">
                  <c:v>671600</c:v>
                </c:pt>
                <c:pt idx="1">
                  <c:v>429144</c:v>
                </c:pt>
                <c:pt idx="2" formatCode="#,##0">
                  <c:v>417000</c:v>
                </c:pt>
                <c:pt idx="3">
                  <c:v>1030000</c:v>
                </c:pt>
              </c:numCache>
            </c:numRef>
          </c:val>
        </c:ser>
        <c:ser>
          <c:idx val="11"/>
          <c:order val="11"/>
          <c:tx>
            <c:strRef>
              <c:f>'General metal graphs'!$A$89</c:f>
              <c:strCache>
                <c:ptCount val="1"/>
                <c:pt idx="0">
                  <c:v>Magnox/Magnesium LLW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graphs'!$B$77:$E$77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graphs'!$B$89:$E$89</c:f>
              <c:numCache>
                <c:formatCode>General</c:formatCode>
                <c:ptCount val="4"/>
                <c:pt idx="0">
                  <c:v>265</c:v>
                </c:pt>
                <c:pt idx="1">
                  <c:v>192</c:v>
                </c:pt>
                <c:pt idx="2">
                  <c:v>200</c:v>
                </c:pt>
                <c:pt idx="3">
                  <c:v>130</c:v>
                </c:pt>
              </c:numCache>
            </c:numRef>
          </c:val>
        </c:ser>
        <c:ser>
          <c:idx val="12"/>
          <c:order val="12"/>
          <c:tx>
            <c:strRef>
              <c:f>'General metal graphs'!$A$90</c:f>
              <c:strCache>
                <c:ptCount val="1"/>
                <c:pt idx="0">
                  <c:v>Aluminium LLW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graphs'!$B$77:$E$77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graphs'!$B$90:$E$90</c:f>
              <c:numCache>
                <c:formatCode>General</c:formatCode>
                <c:ptCount val="4"/>
                <c:pt idx="0">
                  <c:v>5840</c:v>
                </c:pt>
                <c:pt idx="1">
                  <c:v>6384</c:v>
                </c:pt>
                <c:pt idx="2">
                  <c:v>5700</c:v>
                </c:pt>
                <c:pt idx="3">
                  <c:v>30000</c:v>
                </c:pt>
              </c:numCache>
            </c:numRef>
          </c:val>
        </c:ser>
        <c:ser>
          <c:idx val="13"/>
          <c:order val="13"/>
          <c:tx>
            <c:strRef>
              <c:f>'General metal graphs'!$A$91</c:f>
              <c:strCache>
                <c:ptCount val="1"/>
                <c:pt idx="0">
                  <c:v>Zircaloy/Zirconium LLW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graphs'!$B$77:$E$77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graphs'!$B$91:$E$91</c:f>
              <c:numCache>
                <c:formatCode>General</c:formatCode>
                <c:ptCount val="4"/>
                <c:pt idx="0">
                  <c:v>13</c:v>
                </c:pt>
                <c:pt idx="1">
                  <c:v>28</c:v>
                </c:pt>
                <c:pt idx="2">
                  <c:v>21</c:v>
                </c:pt>
                <c:pt idx="3">
                  <c:v>40</c:v>
                </c:pt>
              </c:numCache>
            </c:numRef>
          </c:val>
        </c:ser>
        <c:ser>
          <c:idx val="14"/>
          <c:order val="14"/>
          <c:tx>
            <c:strRef>
              <c:f>'General metal graphs'!$A$92</c:f>
              <c:strCache>
                <c:ptCount val="1"/>
                <c:pt idx="0">
                  <c:v>Other metals LLW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graphs'!$B$77:$E$77</c:f>
              <c:numCache>
                <c:formatCode>General</c:formatCode>
                <c:ptCount val="4"/>
                <c:pt idx="0">
                  <c:v>1998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</c:numCache>
            </c:numRef>
          </c:cat>
          <c:val>
            <c:numRef>
              <c:f>'General metal graphs'!$B$92:$E$92</c:f>
              <c:numCache>
                <c:formatCode>General</c:formatCode>
                <c:ptCount val="4"/>
                <c:pt idx="0">
                  <c:v>20004</c:v>
                </c:pt>
                <c:pt idx="1">
                  <c:v>19981</c:v>
                </c:pt>
                <c:pt idx="2">
                  <c:v>31000</c:v>
                </c:pt>
                <c:pt idx="3">
                  <c:v>90000</c:v>
                </c:pt>
              </c:numCache>
            </c:numRef>
          </c:val>
        </c:ser>
        <c:overlap val="100"/>
        <c:axId val="52788608"/>
        <c:axId val="52803072"/>
      </c:barChart>
      <c:catAx>
        <c:axId val="527886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2857214431710139"/>
              <c:y val="0.9324344658429031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803072"/>
        <c:crosses val="autoZero"/>
        <c:auto val="1"/>
        <c:lblAlgn val="ctr"/>
        <c:lblOffset val="100"/>
        <c:tickLblSkip val="1"/>
        <c:tickMarkSkip val="1"/>
      </c:catAx>
      <c:valAx>
        <c:axId val="528030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Metal mass (tonne) </a:t>
                </a:r>
              </a:p>
            </c:rich>
          </c:tx>
          <c:layout>
            <c:manualLayout>
              <c:xMode val="edge"/>
              <c:yMode val="edge"/>
              <c:x val="2.8218696090320596E-2"/>
              <c:y val="0.407658488532762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78860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3798971977555"/>
          <c:y val="0.22429980983103837"/>
          <c:w val="0.13998603504698451"/>
          <c:h val="0.5225166024473052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133852673365701"/>
          <c:y val="0.16972448552769306"/>
          <c:w val="0.87954193014117221"/>
          <c:h val="0.66972364559576114"/>
        </c:manualLayout>
      </c:layout>
      <c:barChart>
        <c:barDir val="col"/>
        <c:grouping val="clustered"/>
        <c:ser>
          <c:idx val="0"/>
          <c:order val="0"/>
          <c:tx>
            <c:strRef>
              <c:f>'WAGR Recycling Variations'!$B$370</c:f>
              <c:strCache>
                <c:ptCount val="1"/>
                <c:pt idx="0">
                  <c:v>Final Ref Case Medium Voltage + Import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Variations'!$A$371:$A$381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Variations'!$B$371:$B$381</c:f>
              <c:numCache>
                <c:formatCode>0.00</c:formatCode>
                <c:ptCount val="11"/>
                <c:pt idx="0">
                  <c:v>21.8</c:v>
                </c:pt>
                <c:pt idx="1">
                  <c:v>-6.1700000000000004E-4</c:v>
                </c:pt>
                <c:pt idx="2">
                  <c:v>-133</c:v>
                </c:pt>
                <c:pt idx="3">
                  <c:v>-15.3</c:v>
                </c:pt>
                <c:pt idx="4">
                  <c:v>0.35199999999999998</c:v>
                </c:pt>
                <c:pt idx="5">
                  <c:v>2.2000000000000001E-3</c:v>
                </c:pt>
                <c:pt idx="6">
                  <c:v>10.199999999999999</c:v>
                </c:pt>
                <c:pt idx="7">
                  <c:v>-0.85399999999999998</c:v>
                </c:pt>
                <c:pt idx="8">
                  <c:v>-0.34399999999999997</c:v>
                </c:pt>
                <c:pt idx="9">
                  <c:v>-24.9</c:v>
                </c:pt>
                <c:pt idx="10">
                  <c:v>17.100000000000001</c:v>
                </c:pt>
              </c:numCache>
            </c:numRef>
          </c:val>
        </c:ser>
        <c:ser>
          <c:idx val="1"/>
          <c:order val="1"/>
          <c:tx>
            <c:strRef>
              <c:f>'WAGR Recycling Variations'!$C$370</c:f>
              <c:strCache>
                <c:ptCount val="1"/>
                <c:pt idx="0">
                  <c:v>High Voltage + Import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Variations'!$A$371:$A$381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Variations'!$C$371:$C$381</c:f>
              <c:numCache>
                <c:formatCode>0.00</c:formatCode>
                <c:ptCount val="11"/>
                <c:pt idx="0">
                  <c:v>21.7</c:v>
                </c:pt>
                <c:pt idx="1">
                  <c:v>-6.7599999999999995E-4</c:v>
                </c:pt>
                <c:pt idx="2">
                  <c:v>-133</c:v>
                </c:pt>
                <c:pt idx="3">
                  <c:v>-15.3</c:v>
                </c:pt>
                <c:pt idx="4">
                  <c:v>0.34899999999999998</c:v>
                </c:pt>
                <c:pt idx="5">
                  <c:v>2.1900000000000001E-3</c:v>
                </c:pt>
                <c:pt idx="6">
                  <c:v>10</c:v>
                </c:pt>
                <c:pt idx="7">
                  <c:v>-0.85799999999999998</c:v>
                </c:pt>
                <c:pt idx="8">
                  <c:v>-0.35</c:v>
                </c:pt>
                <c:pt idx="9">
                  <c:v>-25</c:v>
                </c:pt>
                <c:pt idx="10">
                  <c:v>17</c:v>
                </c:pt>
              </c:numCache>
            </c:numRef>
          </c:val>
        </c:ser>
        <c:ser>
          <c:idx val="2"/>
          <c:order val="2"/>
          <c:tx>
            <c:strRef>
              <c:f>'WAGR Recycling Variations'!$D$370</c:f>
              <c:strCache>
                <c:ptCount val="1"/>
                <c:pt idx="0">
                  <c:v>Low Voltage + Import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Variations'!$A$371:$A$381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Variations'!$D$371:$D$381</c:f>
              <c:numCache>
                <c:formatCode>0.00</c:formatCode>
                <c:ptCount val="11"/>
                <c:pt idx="0">
                  <c:v>22.3</c:v>
                </c:pt>
                <c:pt idx="1">
                  <c:v>-3.8800000000000001E-5</c:v>
                </c:pt>
                <c:pt idx="2">
                  <c:v>-131</c:v>
                </c:pt>
                <c:pt idx="3">
                  <c:v>-15.1</c:v>
                </c:pt>
                <c:pt idx="4">
                  <c:v>0.379</c:v>
                </c:pt>
                <c:pt idx="5">
                  <c:v>2.2899999999999999E-3</c:v>
                </c:pt>
                <c:pt idx="6">
                  <c:v>11.1</c:v>
                </c:pt>
                <c:pt idx="7">
                  <c:v>-0.82099999999999995</c:v>
                </c:pt>
                <c:pt idx="8">
                  <c:v>-0.29699999999999999</c:v>
                </c:pt>
                <c:pt idx="9">
                  <c:v>-23.8</c:v>
                </c:pt>
                <c:pt idx="10">
                  <c:v>17.8</c:v>
                </c:pt>
              </c:numCache>
            </c:numRef>
          </c:val>
        </c:ser>
        <c:axId val="66192512"/>
        <c:axId val="66194432"/>
      </c:barChart>
      <c:catAx>
        <c:axId val="661925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845561879022548"/>
              <c:y val="0.880732545087812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194432"/>
        <c:crosses val="autoZero"/>
        <c:auto val="1"/>
        <c:lblAlgn val="ctr"/>
        <c:lblOffset val="100"/>
        <c:tickLblSkip val="1"/>
        <c:tickMarkSkip val="1"/>
      </c:catAx>
      <c:valAx>
        <c:axId val="661944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5096367904506985E-2"/>
              <c:y val="0.34403591833978953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19251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8303362064458"/>
          <c:y val="2.884624413512913E-2"/>
          <c:w val="0.54530521624763195"/>
          <c:h val="6.730790298196796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3051823416506705"/>
          <c:y val="0.14399985937513704"/>
          <c:w val="0.84836852207293689"/>
          <c:h val="0.71199930468817929"/>
        </c:manualLayout>
      </c:layout>
      <c:barChart>
        <c:barDir val="col"/>
        <c:grouping val="clustered"/>
        <c:ser>
          <c:idx val="0"/>
          <c:order val="0"/>
          <c:tx>
            <c:strRef>
              <c:f>'WAGR Recycling Variations'!$B$383</c:f>
              <c:strCache>
                <c:ptCount val="1"/>
                <c:pt idx="0">
                  <c:v>Final Ref Case Medium Voltage + Import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Variations'!$A$384:$A$394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Variations'!$B$384:$B$394</c:f>
              <c:numCache>
                <c:formatCode>General</c:formatCode>
                <c:ptCount val="11"/>
                <c:pt idx="0" formatCode="0.00E+00">
                  <c:v>8710</c:v>
                </c:pt>
                <c:pt idx="1">
                  <c:v>-0.247</c:v>
                </c:pt>
                <c:pt idx="2" formatCode="0.00E+00">
                  <c:v>-53200</c:v>
                </c:pt>
                <c:pt idx="3" formatCode="0.00E+00">
                  <c:v>-6100</c:v>
                </c:pt>
                <c:pt idx="4" formatCode="0.00E+00">
                  <c:v>141</c:v>
                </c:pt>
                <c:pt idx="5">
                  <c:v>0.88</c:v>
                </c:pt>
                <c:pt idx="6" formatCode="0.00E+00">
                  <c:v>4060</c:v>
                </c:pt>
                <c:pt idx="7" formatCode="0.00E+00">
                  <c:v>-342</c:v>
                </c:pt>
                <c:pt idx="8" formatCode="0.00E+00">
                  <c:v>-138</c:v>
                </c:pt>
                <c:pt idx="9" formatCode="0.00E+00">
                  <c:v>-4970</c:v>
                </c:pt>
                <c:pt idx="10" formatCode="0.00E+00">
                  <c:v>3420</c:v>
                </c:pt>
              </c:numCache>
            </c:numRef>
          </c:val>
        </c:ser>
        <c:ser>
          <c:idx val="1"/>
          <c:order val="1"/>
          <c:tx>
            <c:strRef>
              <c:f>'WAGR Recycling Variations'!$C$383</c:f>
              <c:strCache>
                <c:ptCount val="1"/>
                <c:pt idx="0">
                  <c:v>High Voltage + Import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Variations'!$A$384:$A$394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Variations'!$C$384:$C$394</c:f>
              <c:numCache>
                <c:formatCode>General</c:formatCode>
                <c:ptCount val="11"/>
                <c:pt idx="0" formatCode="0.00E+00">
                  <c:v>8690</c:v>
                </c:pt>
                <c:pt idx="1">
                  <c:v>-0.27100000000000002</c:v>
                </c:pt>
                <c:pt idx="2" formatCode="0.00E+00">
                  <c:v>-53200</c:v>
                </c:pt>
                <c:pt idx="3" formatCode="0.00E+00">
                  <c:v>-6110</c:v>
                </c:pt>
                <c:pt idx="4" formatCode="0.00E+00">
                  <c:v>140</c:v>
                </c:pt>
                <c:pt idx="5">
                  <c:v>0.876</c:v>
                </c:pt>
                <c:pt idx="6" formatCode="0.00E+00">
                  <c:v>4010</c:v>
                </c:pt>
                <c:pt idx="7" formatCode="0.00E+00">
                  <c:v>-343</c:v>
                </c:pt>
                <c:pt idx="8" formatCode="0.00E+00">
                  <c:v>-140</c:v>
                </c:pt>
                <c:pt idx="9" formatCode="0.00E+00">
                  <c:v>-5000</c:v>
                </c:pt>
                <c:pt idx="10" formatCode="0.00E+00">
                  <c:v>3400</c:v>
                </c:pt>
              </c:numCache>
            </c:numRef>
          </c:val>
        </c:ser>
        <c:ser>
          <c:idx val="2"/>
          <c:order val="2"/>
          <c:tx>
            <c:strRef>
              <c:f>'WAGR Recycling Variations'!$D$383</c:f>
              <c:strCache>
                <c:ptCount val="1"/>
                <c:pt idx="0">
                  <c:v>Low Voltage + Import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Recycling Variations'!$A$384:$A$394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Recycling Variations'!$D$384:$D$394</c:f>
              <c:numCache>
                <c:formatCode>General</c:formatCode>
                <c:ptCount val="11"/>
                <c:pt idx="0" formatCode="0.00E+00">
                  <c:v>8930</c:v>
                </c:pt>
                <c:pt idx="1">
                  <c:v>-1.55E-2</c:v>
                </c:pt>
                <c:pt idx="2" formatCode="0.00E+00">
                  <c:v>-52600</c:v>
                </c:pt>
                <c:pt idx="3" formatCode="0.00E+00">
                  <c:v>-6030</c:v>
                </c:pt>
                <c:pt idx="4" formatCode="0.00E+00">
                  <c:v>152</c:v>
                </c:pt>
                <c:pt idx="5">
                  <c:v>0.91600000000000004</c:v>
                </c:pt>
                <c:pt idx="6" formatCode="0.00E+00">
                  <c:v>4430</c:v>
                </c:pt>
                <c:pt idx="7" formatCode="0.00E+00">
                  <c:v>-328</c:v>
                </c:pt>
                <c:pt idx="8" formatCode="0.00E+00">
                  <c:v>-119</c:v>
                </c:pt>
                <c:pt idx="9" formatCode="0.00E+00">
                  <c:v>-4760</c:v>
                </c:pt>
                <c:pt idx="10" formatCode="0.00E+00">
                  <c:v>3560</c:v>
                </c:pt>
              </c:numCache>
            </c:numRef>
          </c:val>
        </c:ser>
        <c:axId val="66261376"/>
        <c:axId val="66263296"/>
      </c:barChart>
      <c:catAx>
        <c:axId val="66261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224800542316316"/>
              <c:y val="0.8919989179625528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263296"/>
        <c:crosses val="autoZero"/>
        <c:auto val="1"/>
        <c:lblAlgn val="ctr"/>
        <c:lblOffset val="100"/>
        <c:tickLblSkip val="1"/>
        <c:tickMarkSkip val="1"/>
      </c:catAx>
      <c:valAx>
        <c:axId val="662632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5193895465053621E-2"/>
              <c:y val="0.26399959058042538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26137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4933774834437087"/>
          <c:y val="2.7855153203342618E-2"/>
          <c:w val="0.5314569536423841"/>
          <c:h val="5.849582172701949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8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Comparison of Medium Voltage Impact by Country </a:t>
            </a:r>
          </a:p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8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for WAGR Boiler Steel Melting</a:t>
            </a:r>
          </a:p>
        </c:rich>
      </c:tx>
      <c:layout>
        <c:manualLayout>
          <c:xMode val="edge"/>
          <c:yMode val="edge"/>
          <c:x val="0.2945736758029624"/>
          <c:y val="3.688529397040628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730763723161601"/>
          <c:y val="0.238683367375747"/>
          <c:w val="0.8634611330654991"/>
          <c:h val="0.55967134419140607"/>
        </c:manualLayout>
      </c:layout>
      <c:barChart>
        <c:barDir val="col"/>
        <c:grouping val="clustered"/>
        <c:ser>
          <c:idx val="0"/>
          <c:order val="0"/>
          <c:tx>
            <c:strRef>
              <c:f>'WAGR Recycling Variations'!$D$398</c:f>
              <c:strCache>
                <c:ptCount val="1"/>
                <c:pt idx="0">
                  <c:v>Medium Voltage Impact (Pt)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'WAGR Recycling Variations'!$C$399:$C$403</c:f>
              <c:strCache>
                <c:ptCount val="5"/>
                <c:pt idx="0">
                  <c:v>France</c:v>
                </c:pt>
                <c:pt idx="1">
                  <c:v>Germany</c:v>
                </c:pt>
                <c:pt idx="2">
                  <c:v>Sweden</c:v>
                </c:pt>
                <c:pt idx="3">
                  <c:v>UK</c:v>
                </c:pt>
                <c:pt idx="4">
                  <c:v>USA</c:v>
                </c:pt>
              </c:strCache>
            </c:strRef>
          </c:cat>
          <c:val>
            <c:numRef>
              <c:f>'WAGR Recycling Variations'!$D$399:$D$403</c:f>
              <c:numCache>
                <c:formatCode>0.00E+00</c:formatCode>
                <c:ptCount val="5"/>
                <c:pt idx="0">
                  <c:v>3570</c:v>
                </c:pt>
                <c:pt idx="1">
                  <c:v>10600</c:v>
                </c:pt>
                <c:pt idx="2">
                  <c:v>4550</c:v>
                </c:pt>
                <c:pt idx="3">
                  <c:v>17500</c:v>
                </c:pt>
                <c:pt idx="4">
                  <c:v>21700</c:v>
                </c:pt>
              </c:numCache>
            </c:numRef>
          </c:val>
        </c:ser>
        <c:axId val="66299776"/>
        <c:axId val="66314240"/>
      </c:barChart>
      <c:catAx>
        <c:axId val="662997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Country</a:t>
                </a:r>
              </a:p>
            </c:rich>
          </c:tx>
          <c:layout>
            <c:manualLayout>
              <c:xMode val="edge"/>
              <c:yMode val="edge"/>
              <c:x val="0.52325563782139173"/>
              <c:y val="0.8893461205632674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314240"/>
        <c:crosses val="autoZero"/>
        <c:auto val="1"/>
        <c:lblAlgn val="ctr"/>
        <c:lblOffset val="100"/>
        <c:tickLblSkip val="1"/>
        <c:tickMarkSkip val="1"/>
      </c:catAx>
      <c:valAx>
        <c:axId val="663142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5193890564674439E-2"/>
              <c:y val="0.28278744448497067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29977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564098631529602"/>
          <c:y val="0.26818196698662106"/>
          <c:w val="0.84871768306863404"/>
          <c:h val="0.60909124705435813"/>
        </c:manualLayout>
      </c:layout>
      <c:barChart>
        <c:barDir val="col"/>
        <c:grouping val="stacked"/>
        <c:ser>
          <c:idx val="1"/>
          <c:order val="0"/>
          <c:tx>
            <c:strRef>
              <c:f>'WAGR Recycling Variations'!$R$4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CD5B5"/>
            </a:solidFill>
            <a:ln w="25400">
              <a:noFill/>
            </a:ln>
          </c:spPr>
          <c:cat>
            <c:strRef>
              <c:f>'WAGR Recycling Variations'!$S$2:$U$2</c:f>
              <c:strCache>
                <c:ptCount val="3"/>
                <c:pt idx="0">
                  <c:v>Pig Iron </c:v>
                </c:pt>
                <c:pt idx="1">
                  <c:v>Unalloyed Steel</c:v>
                </c:pt>
                <c:pt idx="2">
                  <c:v>Unalloyed Steel with Electric Steel Off-set</c:v>
                </c:pt>
              </c:strCache>
            </c:strRef>
          </c:cat>
          <c:val>
            <c:numRef>
              <c:f>'WAGR Recycling Variations'!$S$4:$U$4</c:f>
              <c:numCache>
                <c:formatCode>0.00E+00</c:formatCode>
                <c:ptCount val="3"/>
                <c:pt idx="0">
                  <c:v>0.80645161290322576</c:v>
                </c:pt>
                <c:pt idx="1">
                  <c:v>0.80645161290322576</c:v>
                </c:pt>
                <c:pt idx="2">
                  <c:v>0.80645161290322576</c:v>
                </c:pt>
              </c:numCache>
            </c:numRef>
          </c:val>
        </c:ser>
        <c:ser>
          <c:idx val="2"/>
          <c:order val="1"/>
          <c:tx>
            <c:strRef>
              <c:f>'WAGR Recycling Variations'!$R$5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cat>
            <c:strRef>
              <c:f>'WAGR Recycling Variations'!$S$2:$U$2</c:f>
              <c:strCache>
                <c:ptCount val="3"/>
                <c:pt idx="0">
                  <c:v>Pig Iron </c:v>
                </c:pt>
                <c:pt idx="1">
                  <c:v>Unalloyed Steel</c:v>
                </c:pt>
                <c:pt idx="2">
                  <c:v>Unalloyed Steel with Electric Steel Off-set</c:v>
                </c:pt>
              </c:strCache>
            </c:strRef>
          </c:cat>
          <c:val>
            <c:numRef>
              <c:f>'WAGR Recycling Variations'!$S$5:$U$5</c:f>
              <c:numCache>
                <c:formatCode>0.00E+00</c:formatCode>
                <c:ptCount val="3"/>
                <c:pt idx="0">
                  <c:v>8.0645161290322578E-2</c:v>
                </c:pt>
                <c:pt idx="1">
                  <c:v>8.0645161290322578E-2</c:v>
                </c:pt>
                <c:pt idx="2">
                  <c:v>8.0645161290322578E-2</c:v>
                </c:pt>
              </c:numCache>
            </c:numRef>
          </c:val>
        </c:ser>
        <c:ser>
          <c:idx val="3"/>
          <c:order val="2"/>
          <c:tx>
            <c:strRef>
              <c:f>'WAGR Recycling Variations'!$R$6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strRef>
              <c:f>'WAGR Recycling Variations'!$S$2:$U$2</c:f>
              <c:strCache>
                <c:ptCount val="3"/>
                <c:pt idx="0">
                  <c:v>Pig Iron </c:v>
                </c:pt>
                <c:pt idx="1">
                  <c:v>Unalloyed Steel</c:v>
                </c:pt>
                <c:pt idx="2">
                  <c:v>Unalloyed Steel with Electric Steel Off-set</c:v>
                </c:pt>
              </c:strCache>
            </c:strRef>
          </c:cat>
          <c:val>
            <c:numRef>
              <c:f>'WAGR Recycling Variations'!$S$6:$U$6</c:f>
              <c:numCache>
                <c:formatCode>0.00E+00</c:formatCode>
                <c:ptCount val="3"/>
                <c:pt idx="0">
                  <c:v>4.4983870967741941</c:v>
                </c:pt>
                <c:pt idx="1">
                  <c:v>4.4983870967741941</c:v>
                </c:pt>
                <c:pt idx="2">
                  <c:v>4.4983870967741941</c:v>
                </c:pt>
              </c:numCache>
            </c:numRef>
          </c:val>
        </c:ser>
        <c:ser>
          <c:idx val="4"/>
          <c:order val="3"/>
          <c:tx>
            <c:strRef>
              <c:f>'WAGR Recycling Variations'!$R$7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cat>
            <c:strRef>
              <c:f>'WAGR Recycling Variations'!$S$2:$U$2</c:f>
              <c:strCache>
                <c:ptCount val="3"/>
                <c:pt idx="0">
                  <c:v>Pig Iron </c:v>
                </c:pt>
                <c:pt idx="1">
                  <c:v>Unalloyed Steel</c:v>
                </c:pt>
                <c:pt idx="2">
                  <c:v>Unalloyed Steel with Electric Steel Off-set</c:v>
                </c:pt>
              </c:strCache>
            </c:strRef>
          </c:cat>
          <c:val>
            <c:numRef>
              <c:f>'WAGR Recycling Variations'!$S$7:$U$7</c:f>
              <c:numCache>
                <c:formatCode>0.00E+00</c:formatCode>
                <c:ptCount val="3"/>
                <c:pt idx="0">
                  <c:v>2.3927419354838708</c:v>
                </c:pt>
                <c:pt idx="1">
                  <c:v>2.3927419354838708</c:v>
                </c:pt>
                <c:pt idx="2">
                  <c:v>2.3927419354838708</c:v>
                </c:pt>
              </c:numCache>
            </c:numRef>
          </c:val>
        </c:ser>
        <c:ser>
          <c:idx val="5"/>
          <c:order val="4"/>
          <c:tx>
            <c:strRef>
              <c:f>'WAGR Recycling Variations'!$R$8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7F7F7F"/>
            </a:solidFill>
            <a:ln w="25400">
              <a:noFill/>
            </a:ln>
          </c:spPr>
          <c:cat>
            <c:strRef>
              <c:f>'WAGR Recycling Variations'!$S$2:$U$2</c:f>
              <c:strCache>
                <c:ptCount val="3"/>
                <c:pt idx="0">
                  <c:v>Pig Iron </c:v>
                </c:pt>
                <c:pt idx="1">
                  <c:v>Unalloyed Steel</c:v>
                </c:pt>
                <c:pt idx="2">
                  <c:v>Unalloyed Steel with Electric Steel Off-set</c:v>
                </c:pt>
              </c:strCache>
            </c:strRef>
          </c:cat>
          <c:val>
            <c:numRef>
              <c:f>'WAGR Recycling Variations'!$S$8:$U$8</c:f>
              <c:numCache>
                <c:formatCode>0.00E+00</c:formatCode>
                <c:ptCount val="3"/>
                <c:pt idx="0">
                  <c:v>2.6080645161290321</c:v>
                </c:pt>
                <c:pt idx="1">
                  <c:v>2.6080645161290321</c:v>
                </c:pt>
                <c:pt idx="2">
                  <c:v>2.6080645161290321</c:v>
                </c:pt>
              </c:numCache>
            </c:numRef>
          </c:val>
        </c:ser>
        <c:ser>
          <c:idx val="6"/>
          <c:order val="5"/>
          <c:tx>
            <c:strRef>
              <c:f>'WAGR Recycling Variations'!$R$9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64CC0D"/>
            </a:solidFill>
            <a:ln w="25400">
              <a:noFill/>
            </a:ln>
          </c:spPr>
          <c:cat>
            <c:strRef>
              <c:f>'WAGR Recycling Variations'!$S$2:$U$2</c:f>
              <c:strCache>
                <c:ptCount val="3"/>
                <c:pt idx="0">
                  <c:v>Pig Iron </c:v>
                </c:pt>
                <c:pt idx="1">
                  <c:v>Unalloyed Steel</c:v>
                </c:pt>
                <c:pt idx="2">
                  <c:v>Unalloyed Steel with Electric Steel Off-set</c:v>
                </c:pt>
              </c:strCache>
            </c:strRef>
          </c:cat>
          <c:val>
            <c:numRef>
              <c:f>'WAGR Recycling Variations'!$S$9:$U$9</c:f>
              <c:numCache>
                <c:formatCode>0.00E+00</c:formatCode>
                <c:ptCount val="3"/>
                <c:pt idx="0">
                  <c:v>3.669354838709677</c:v>
                </c:pt>
                <c:pt idx="1">
                  <c:v>3.669354838709677</c:v>
                </c:pt>
                <c:pt idx="2">
                  <c:v>3.669354838709677</c:v>
                </c:pt>
              </c:numCache>
            </c:numRef>
          </c:val>
        </c:ser>
        <c:ser>
          <c:idx val="7"/>
          <c:order val="6"/>
          <c:tx>
            <c:strRef>
              <c:f>'WAGR Recycling Variations'!$R$10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00090"/>
            </a:solidFill>
            <a:ln w="25400">
              <a:noFill/>
            </a:ln>
          </c:spPr>
          <c:cat>
            <c:strRef>
              <c:f>'WAGR Recycling Variations'!$S$2:$U$2</c:f>
              <c:strCache>
                <c:ptCount val="3"/>
                <c:pt idx="0">
                  <c:v>Pig Iron </c:v>
                </c:pt>
                <c:pt idx="1">
                  <c:v>Unalloyed Steel</c:v>
                </c:pt>
                <c:pt idx="2">
                  <c:v>Unalloyed Steel with Electric Steel Off-set</c:v>
                </c:pt>
              </c:strCache>
            </c:strRef>
          </c:cat>
          <c:val>
            <c:numRef>
              <c:f>'WAGR Recycling Variations'!$S$10:$U$10</c:f>
              <c:numCache>
                <c:formatCode>0.00E+00</c:formatCode>
                <c:ptCount val="3"/>
                <c:pt idx="0">
                  <c:v>3.0677419354838711</c:v>
                </c:pt>
                <c:pt idx="1">
                  <c:v>3.0677419354838711</c:v>
                </c:pt>
                <c:pt idx="2">
                  <c:v>3.0677419354838711</c:v>
                </c:pt>
              </c:numCache>
            </c:numRef>
          </c:val>
        </c:ser>
        <c:ser>
          <c:idx val="8"/>
          <c:order val="7"/>
          <c:tx>
            <c:strRef>
              <c:f>'WAGR Recycling Variations'!$R$11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cat>
            <c:strRef>
              <c:f>'WAGR Recycling Variations'!$S$2:$U$2</c:f>
              <c:strCache>
                <c:ptCount val="3"/>
                <c:pt idx="0">
                  <c:v>Pig Iron </c:v>
                </c:pt>
                <c:pt idx="1">
                  <c:v>Unalloyed Steel</c:v>
                </c:pt>
                <c:pt idx="2">
                  <c:v>Unalloyed Steel with Electric Steel Off-set</c:v>
                </c:pt>
              </c:strCache>
            </c:strRef>
          </c:cat>
          <c:val>
            <c:numRef>
              <c:f>'WAGR Recycling Variations'!$S$11:$U$11</c:f>
              <c:numCache>
                <c:formatCode>0.00E+00</c:formatCode>
                <c:ptCount val="3"/>
                <c:pt idx="0">
                  <c:v>-89.516129032258064</c:v>
                </c:pt>
                <c:pt idx="1">
                  <c:v>-95.161290322580655</c:v>
                </c:pt>
                <c:pt idx="2">
                  <c:v>-59.354838709677416</c:v>
                </c:pt>
              </c:numCache>
            </c:numRef>
          </c:val>
        </c:ser>
        <c:ser>
          <c:idx val="9"/>
          <c:order val="8"/>
          <c:tx>
            <c:strRef>
              <c:f>'WAGR Recycling Variations'!$R$12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D98586"/>
            </a:solidFill>
            <a:ln w="25400">
              <a:noFill/>
            </a:ln>
          </c:spPr>
          <c:cat>
            <c:strRef>
              <c:f>'WAGR Recycling Variations'!$S$2:$U$2</c:f>
              <c:strCache>
                <c:ptCount val="3"/>
                <c:pt idx="0">
                  <c:v>Pig Iron </c:v>
                </c:pt>
                <c:pt idx="1">
                  <c:v>Unalloyed Steel</c:v>
                </c:pt>
                <c:pt idx="2">
                  <c:v>Unalloyed Steel with Electric Steel Off-set</c:v>
                </c:pt>
              </c:strCache>
            </c:strRef>
          </c:cat>
          <c:val>
            <c:numRef>
              <c:f>'WAGR Recycling Variations'!$S$12:$U$12</c:f>
              <c:numCache>
                <c:formatCode>0.00E+00</c:formatCode>
                <c:ptCount val="3"/>
                <c:pt idx="0">
                  <c:v>4.225806451612903</c:v>
                </c:pt>
                <c:pt idx="1">
                  <c:v>4.225806451612903</c:v>
                </c:pt>
                <c:pt idx="2">
                  <c:v>4.225806451612903</c:v>
                </c:pt>
              </c:numCache>
            </c:numRef>
          </c:val>
        </c:ser>
        <c:ser>
          <c:idx val="10"/>
          <c:order val="9"/>
          <c:tx>
            <c:strRef>
              <c:f>'WAGR Recycling Variations'!$R$13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cat>
            <c:strRef>
              <c:f>'WAGR Recycling Variations'!$S$2:$U$2</c:f>
              <c:strCache>
                <c:ptCount val="3"/>
                <c:pt idx="0">
                  <c:v>Pig Iron </c:v>
                </c:pt>
                <c:pt idx="1">
                  <c:v>Unalloyed Steel</c:v>
                </c:pt>
                <c:pt idx="2">
                  <c:v>Unalloyed Steel with Electric Steel Off-set</c:v>
                </c:pt>
              </c:strCache>
            </c:strRef>
          </c:cat>
          <c:val>
            <c:numRef>
              <c:f>'WAGR Recycling Variations'!$S$13:$U$13</c:f>
              <c:numCache>
                <c:formatCode>0.00E+00</c:formatCode>
                <c:ptCount val="3"/>
                <c:pt idx="0">
                  <c:v>0.21379032258064518</c:v>
                </c:pt>
                <c:pt idx="1">
                  <c:v>0.21379032258064518</c:v>
                </c:pt>
                <c:pt idx="2">
                  <c:v>0.21379032258064518</c:v>
                </c:pt>
              </c:numCache>
            </c:numRef>
          </c:val>
        </c:ser>
        <c:ser>
          <c:idx val="11"/>
          <c:order val="10"/>
          <c:tx>
            <c:strRef>
              <c:f>'WAGR Recycling Variations'!$R$14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84807"/>
            </a:solidFill>
            <a:ln w="25400">
              <a:noFill/>
            </a:ln>
          </c:spPr>
          <c:cat>
            <c:strRef>
              <c:f>'WAGR Recycling Variations'!$S$2:$U$2</c:f>
              <c:strCache>
                <c:ptCount val="3"/>
                <c:pt idx="0">
                  <c:v>Pig Iron </c:v>
                </c:pt>
                <c:pt idx="1">
                  <c:v>Unalloyed Steel</c:v>
                </c:pt>
                <c:pt idx="2">
                  <c:v>Unalloyed Steel with Electric Steel Off-set</c:v>
                </c:pt>
              </c:strCache>
            </c:strRef>
          </c:cat>
          <c:val>
            <c:numRef>
              <c:f>'WAGR Recycling Variations'!$S$14:$U$14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overlap val="100"/>
        <c:axId val="66416640"/>
        <c:axId val="66418560"/>
      </c:barChart>
      <c:catAx>
        <c:axId val="664166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>
                    <a:latin typeface="Arial" pitchFamily="34" charset="0"/>
                    <a:cs typeface="Arial" pitchFamily="34" charset="0"/>
                  </a:defRPr>
                </a:pPr>
                <a:r>
                  <a:rPr lang="en-GB" sz="900" b="0">
                    <a:latin typeface="Arial" pitchFamily="34" charset="0"/>
                    <a:cs typeface="Arial" pitchFamily="34" charset="0"/>
                  </a:rPr>
                  <a:t>Treatment</a:t>
                </a:r>
                <a:r>
                  <a:rPr lang="en-GB" sz="900" b="0" baseline="0">
                    <a:latin typeface="Arial" pitchFamily="34" charset="0"/>
                    <a:cs typeface="Arial" pitchFamily="34" charset="0"/>
                  </a:rPr>
                  <a:t> and Avoided  Metals</a:t>
                </a:r>
                <a:endParaRPr lang="en-GB" sz="90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9173716117343738"/>
              <c:y val="0.90187486241639148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/>
          <a:lstStyle/>
          <a:p>
            <a:pPr>
              <a:defRPr lang="en-GB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66418560"/>
        <c:crosses val="autoZero"/>
        <c:auto val="1"/>
        <c:lblAlgn val="ctr"/>
        <c:lblOffset val="100"/>
      </c:catAx>
      <c:valAx>
        <c:axId val="66418560"/>
        <c:scaling>
          <c:orientation val="minMax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GB" sz="900" b="0">
                    <a:latin typeface="Arial" pitchFamily="34" charset="0"/>
                    <a:cs typeface="Arial" pitchFamily="34" charset="0"/>
                  </a:defRPr>
                </a:pPr>
                <a:r>
                  <a:rPr lang="en-GB" sz="900" b="0">
                    <a:latin typeface="Arial" pitchFamily="34" charset="0"/>
                    <a:cs typeface="Arial" pitchFamily="34" charset="0"/>
                  </a:rPr>
                  <a:t>Percentage</a:t>
                </a:r>
                <a:r>
                  <a:rPr lang="en-GB" sz="900" b="0" baseline="0">
                    <a:latin typeface="Arial" pitchFamily="34" charset="0"/>
                    <a:cs typeface="Arial" pitchFamily="34" charset="0"/>
                  </a:rPr>
                  <a:t> of Total  Direct Disposal Impact</a:t>
                </a:r>
                <a:endParaRPr lang="en-GB" sz="90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1.6631593617169534E-2"/>
              <c:y val="0.11003640673948015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/>
          <a:lstStyle/>
          <a:p>
            <a:pPr>
              <a:defRPr lang="en-GB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664166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460176991150443"/>
          <c:y val="1.607717041800643E-2"/>
          <c:w val="0.72787610619469023"/>
          <c:h val="0.27009646302250806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GB" sz="9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969696"/>
      </a:solidFill>
      <a:prstDash val="solid"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546847100336499"/>
          <c:y val="0.24905671849974101"/>
          <c:w val="0.86056690653451506"/>
          <c:h val="0.61509462296148221"/>
        </c:manualLayout>
      </c:layout>
      <c:barChart>
        <c:barDir val="col"/>
        <c:grouping val="stacked"/>
        <c:ser>
          <c:idx val="1"/>
          <c:order val="0"/>
          <c:tx>
            <c:strRef>
              <c:f>'WAGR Recycling Variations'!$S$48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AC090"/>
            </a:solidFill>
            <a:ln w="25400">
              <a:noFill/>
            </a:ln>
          </c:spPr>
          <c:cat>
            <c:strRef>
              <c:f>'WAGR Recycling Variations'!$T$46:$W$46</c:f>
              <c:strCache>
                <c:ptCount val="4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</c:v>
                </c:pt>
              </c:strCache>
            </c:strRef>
          </c:cat>
          <c:val>
            <c:numRef>
              <c:f>'WAGR Recycling Variations'!$T$48:$W$48</c:f>
              <c:numCache>
                <c:formatCode>0.00E+00</c:formatCode>
                <c:ptCount val="4"/>
                <c:pt idx="0">
                  <c:v>0.80645161290322576</c:v>
                </c:pt>
                <c:pt idx="1">
                  <c:v>1.6209677419354838</c:v>
                </c:pt>
                <c:pt idx="2">
                  <c:v>3.2419354838709675</c:v>
                </c:pt>
                <c:pt idx="3">
                  <c:v>4.862903225806452</c:v>
                </c:pt>
              </c:numCache>
            </c:numRef>
          </c:val>
        </c:ser>
        <c:ser>
          <c:idx val="2"/>
          <c:order val="1"/>
          <c:tx>
            <c:strRef>
              <c:f>'WAGR Recycling Variations'!$S$49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cat>
            <c:strRef>
              <c:f>'WAGR Recycling Variations'!$T$46:$W$46</c:f>
              <c:strCache>
                <c:ptCount val="4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</c:v>
                </c:pt>
              </c:strCache>
            </c:strRef>
          </c:cat>
          <c:val>
            <c:numRef>
              <c:f>'WAGR Recycling Variations'!$T$49:$W$49</c:f>
              <c:numCache>
                <c:formatCode>0.00E+00</c:formatCode>
                <c:ptCount val="4"/>
                <c:pt idx="0">
                  <c:v>0.74193548387096775</c:v>
                </c:pt>
                <c:pt idx="1">
                  <c:v>1.4912903225806451</c:v>
                </c:pt>
                <c:pt idx="2">
                  <c:v>2.9825806451612902</c:v>
                </c:pt>
                <c:pt idx="3">
                  <c:v>4.4738709677419362</c:v>
                </c:pt>
              </c:numCache>
            </c:numRef>
          </c:val>
        </c:ser>
        <c:ser>
          <c:idx val="3"/>
          <c:order val="2"/>
          <c:tx>
            <c:strRef>
              <c:f>'WAGR Recycling Variations'!$S$50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strRef>
              <c:f>'WAGR Recycling Variations'!$T$46:$W$46</c:f>
              <c:strCache>
                <c:ptCount val="4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</c:v>
                </c:pt>
              </c:strCache>
            </c:strRef>
          </c:cat>
          <c:val>
            <c:numRef>
              <c:f>'WAGR Recycling Variations'!$T$50:$W$50</c:f>
              <c:numCache>
                <c:formatCode>0.00E+00</c:formatCode>
                <c:ptCount val="4"/>
                <c:pt idx="0">
                  <c:v>1.2145161290322579</c:v>
                </c:pt>
                <c:pt idx="1">
                  <c:v>1.4620967741935484</c:v>
                </c:pt>
                <c:pt idx="2">
                  <c:v>1.9556451612903227</c:v>
                </c:pt>
                <c:pt idx="3">
                  <c:v>2.4491935483870968</c:v>
                </c:pt>
              </c:numCache>
            </c:numRef>
          </c:val>
        </c:ser>
        <c:ser>
          <c:idx val="4"/>
          <c:order val="3"/>
          <c:tx>
            <c:strRef>
              <c:f>'WAGR Recycling Variations'!$S$51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cat>
            <c:strRef>
              <c:f>'WAGR Recycling Variations'!$T$46:$W$46</c:f>
              <c:strCache>
                <c:ptCount val="4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</c:v>
                </c:pt>
              </c:strCache>
            </c:strRef>
          </c:cat>
          <c:val>
            <c:numRef>
              <c:f>'WAGR Recycling Variations'!$T$51:$W$51</c:f>
              <c:numCache>
                <c:formatCode>0.00E+00</c:formatCode>
                <c:ptCount val="4"/>
                <c:pt idx="0">
                  <c:v>3.2870967741935484</c:v>
                </c:pt>
                <c:pt idx="1">
                  <c:v>3.4201612903225804</c:v>
                </c:pt>
                <c:pt idx="2">
                  <c:v>3.6870967741935483</c:v>
                </c:pt>
                <c:pt idx="3">
                  <c:v>3.9548387096774191</c:v>
                </c:pt>
              </c:numCache>
            </c:numRef>
          </c:val>
        </c:ser>
        <c:ser>
          <c:idx val="5"/>
          <c:order val="4"/>
          <c:tx>
            <c:strRef>
              <c:f>'WAGR Recycling Variations'!$S$52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7F7F7F"/>
            </a:solidFill>
            <a:ln w="25400">
              <a:noFill/>
            </a:ln>
          </c:spPr>
          <c:cat>
            <c:strRef>
              <c:f>'WAGR Recycling Variations'!$T$46:$W$46</c:f>
              <c:strCache>
                <c:ptCount val="4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</c:v>
                </c:pt>
              </c:strCache>
            </c:strRef>
          </c:cat>
          <c:val>
            <c:numRef>
              <c:f>'WAGR Recycling Variations'!$T$52:$W$52</c:f>
              <c:numCache>
                <c:formatCode>0.00E+00</c:formatCode>
                <c:ptCount val="4"/>
                <c:pt idx="0">
                  <c:v>2.6080645161290321</c:v>
                </c:pt>
                <c:pt idx="1">
                  <c:v>2.4733870967741938</c:v>
                </c:pt>
                <c:pt idx="2">
                  <c:v>2.1959677419354842</c:v>
                </c:pt>
                <c:pt idx="3">
                  <c:v>1.9266129032258064</c:v>
                </c:pt>
              </c:numCache>
            </c:numRef>
          </c:val>
        </c:ser>
        <c:ser>
          <c:idx val="6"/>
          <c:order val="5"/>
          <c:tx>
            <c:strRef>
              <c:f>'WAGR Recycling Variations'!$S$53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64CC0D"/>
            </a:solidFill>
            <a:ln w="25400">
              <a:noFill/>
            </a:ln>
          </c:spPr>
          <c:cat>
            <c:strRef>
              <c:f>'WAGR Recycling Variations'!$T$46:$W$46</c:f>
              <c:strCache>
                <c:ptCount val="4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</c:v>
                </c:pt>
              </c:strCache>
            </c:strRef>
          </c:cat>
          <c:val>
            <c:numRef>
              <c:f>'WAGR Recycling Variations'!$T$53:$W$53</c:f>
              <c:numCache>
                <c:formatCode>0.00E+00</c:formatCode>
                <c:ptCount val="4"/>
                <c:pt idx="0">
                  <c:v>3.669354838709677</c:v>
                </c:pt>
                <c:pt idx="1">
                  <c:v>3.4758064516129035</c:v>
                </c:pt>
                <c:pt idx="2">
                  <c:v>3.088709677419355</c:v>
                </c:pt>
                <c:pt idx="3">
                  <c:v>2.7016129032258065</c:v>
                </c:pt>
              </c:numCache>
            </c:numRef>
          </c:val>
        </c:ser>
        <c:ser>
          <c:idx val="7"/>
          <c:order val="6"/>
          <c:tx>
            <c:strRef>
              <c:f>'WAGR Recycling Variations'!$S$54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00090"/>
            </a:solidFill>
            <a:ln w="25400">
              <a:noFill/>
            </a:ln>
          </c:spPr>
          <c:cat>
            <c:strRef>
              <c:f>'WAGR Recycling Variations'!$T$46:$W$46</c:f>
              <c:strCache>
                <c:ptCount val="4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</c:v>
                </c:pt>
              </c:strCache>
            </c:strRef>
          </c:cat>
          <c:val>
            <c:numRef>
              <c:f>'WAGR Recycling Variations'!$T$54:$W$54</c:f>
              <c:numCache>
                <c:formatCode>0.00E+00</c:formatCode>
                <c:ptCount val="4"/>
                <c:pt idx="0">
                  <c:v>3.3620967741935486</c:v>
                </c:pt>
                <c:pt idx="1">
                  <c:v>6.4258064516129032</c:v>
                </c:pt>
                <c:pt idx="2">
                  <c:v>12.556451612903224</c:v>
                </c:pt>
                <c:pt idx="3">
                  <c:v>18.701612903225808</c:v>
                </c:pt>
              </c:numCache>
            </c:numRef>
          </c:val>
        </c:ser>
        <c:ser>
          <c:idx val="8"/>
          <c:order val="7"/>
          <c:tx>
            <c:strRef>
              <c:f>'WAGR Recycling Variations'!$S$55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cat>
            <c:strRef>
              <c:f>'WAGR Recycling Variations'!$T$46:$W$46</c:f>
              <c:strCache>
                <c:ptCount val="4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</c:v>
                </c:pt>
              </c:strCache>
            </c:strRef>
          </c:cat>
          <c:val>
            <c:numRef>
              <c:f>'WAGR Recycling Variations'!$T$55:$W$55</c:f>
              <c:numCache>
                <c:formatCode>0.00E+00</c:formatCode>
                <c:ptCount val="4"/>
                <c:pt idx="0">
                  <c:v>-59.354838709677416</c:v>
                </c:pt>
                <c:pt idx="1">
                  <c:v>-56.370967741935488</c:v>
                </c:pt>
                <c:pt idx="2">
                  <c:v>-49.838709677419359</c:v>
                </c:pt>
                <c:pt idx="3">
                  <c:v>-43.629032258064512</c:v>
                </c:pt>
              </c:numCache>
            </c:numRef>
          </c:val>
        </c:ser>
        <c:ser>
          <c:idx val="9"/>
          <c:order val="8"/>
          <c:tx>
            <c:strRef>
              <c:f>'WAGR Recycling Variations'!$S$56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D98586"/>
            </a:solidFill>
            <a:ln w="25400">
              <a:noFill/>
            </a:ln>
          </c:spPr>
          <c:cat>
            <c:strRef>
              <c:f>'WAGR Recycling Variations'!$T$46:$W$46</c:f>
              <c:strCache>
                <c:ptCount val="4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</c:v>
                </c:pt>
              </c:strCache>
            </c:strRef>
          </c:cat>
          <c:val>
            <c:numRef>
              <c:f>'WAGR Recycling Variations'!$T$56:$W$56</c:f>
              <c:numCache>
                <c:formatCode>0.00E+00</c:formatCode>
                <c:ptCount val="4"/>
                <c:pt idx="0">
                  <c:v>4.225806451612903</c:v>
                </c:pt>
                <c:pt idx="1">
                  <c:v>8.4677419354838701</c:v>
                </c:pt>
                <c:pt idx="2">
                  <c:v>16.93548387096774</c:v>
                </c:pt>
                <c:pt idx="3">
                  <c:v>25.403225806451612</c:v>
                </c:pt>
              </c:numCache>
            </c:numRef>
          </c:val>
        </c:ser>
        <c:ser>
          <c:idx val="10"/>
          <c:order val="9"/>
          <c:tx>
            <c:strRef>
              <c:f>'WAGR Recycling Variations'!$S$57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cat>
            <c:strRef>
              <c:f>'WAGR Recycling Variations'!$T$46:$W$46</c:f>
              <c:strCache>
                <c:ptCount val="4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</c:v>
                </c:pt>
              </c:strCache>
            </c:strRef>
          </c:cat>
          <c:val>
            <c:numRef>
              <c:f>'WAGR Recycling Variations'!$T$57:$W$57</c:f>
              <c:numCache>
                <c:formatCode>0.00E+00</c:formatCode>
                <c:ptCount val="4"/>
                <c:pt idx="0">
                  <c:v>0.21379032258064518</c:v>
                </c:pt>
                <c:pt idx="1">
                  <c:v>0.21379032258064518</c:v>
                </c:pt>
                <c:pt idx="2">
                  <c:v>0.85483870967741937</c:v>
                </c:pt>
                <c:pt idx="3">
                  <c:v>1.2830645161290324</c:v>
                </c:pt>
              </c:numCache>
            </c:numRef>
          </c:val>
        </c:ser>
        <c:ser>
          <c:idx val="11"/>
          <c:order val="10"/>
          <c:tx>
            <c:strRef>
              <c:f>'WAGR Recycling Variations'!$S$58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84807"/>
            </a:solidFill>
            <a:ln w="25400">
              <a:noFill/>
            </a:ln>
          </c:spPr>
          <c:cat>
            <c:strRef>
              <c:f>'WAGR Recycling Variations'!$T$46:$W$46</c:f>
              <c:strCache>
                <c:ptCount val="4"/>
                <c:pt idx="0">
                  <c:v>Ninety five</c:v>
                </c:pt>
                <c:pt idx="1">
                  <c:v>Ninety</c:v>
                </c:pt>
                <c:pt idx="2">
                  <c:v>Eighty</c:v>
                </c:pt>
                <c:pt idx="3">
                  <c:v>Seventy</c:v>
                </c:pt>
              </c:strCache>
            </c:strRef>
          </c:cat>
          <c:val>
            <c:numRef>
              <c:f>'WAGR Recycling Variations'!$T$58:$W$58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overlap val="100"/>
        <c:axId val="66487808"/>
        <c:axId val="66489728"/>
      </c:barChart>
      <c:catAx>
        <c:axId val="664878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>
                    <a:latin typeface="Arial" pitchFamily="34" charset="0"/>
                    <a:cs typeface="Arial" pitchFamily="34" charset="0"/>
                  </a:defRPr>
                </a:pPr>
                <a:r>
                  <a:rPr lang="en-GB" sz="900" b="0">
                    <a:latin typeface="Arial" pitchFamily="34" charset="0"/>
                    <a:cs typeface="Arial" pitchFamily="34" charset="0"/>
                  </a:rPr>
                  <a:t>Percentage</a:t>
                </a:r>
                <a:r>
                  <a:rPr lang="en-GB" sz="900" b="0" baseline="0">
                    <a:latin typeface="Arial" pitchFamily="34" charset="0"/>
                    <a:cs typeface="Arial" pitchFamily="34" charset="0"/>
                  </a:rPr>
                  <a:t> Recycling</a:t>
                </a:r>
                <a:endParaRPr lang="en-GB" sz="900" b="0">
                  <a:latin typeface="Arial" pitchFamily="34" charset="0"/>
                  <a:cs typeface="Arial" pitchFamily="34" charset="0"/>
                </a:endParaRPr>
              </a:p>
            </c:rich>
          </c:tx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/>
          <a:lstStyle/>
          <a:p>
            <a:pPr>
              <a:defRPr lang="en-GB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66489728"/>
        <c:crosses val="autoZero"/>
        <c:auto val="1"/>
        <c:lblAlgn val="ctr"/>
        <c:lblOffset val="100"/>
      </c:catAx>
      <c:valAx>
        <c:axId val="66489728"/>
        <c:scaling>
          <c:orientation val="minMax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GB" sz="900" b="0">
                    <a:latin typeface="Arial" pitchFamily="34" charset="0"/>
                    <a:cs typeface="Arial" pitchFamily="34" charset="0"/>
                  </a:defRPr>
                </a:pPr>
                <a:r>
                  <a:rPr lang="en-GB" sz="900" b="0">
                    <a:latin typeface="Arial" pitchFamily="34" charset="0"/>
                    <a:cs typeface="Arial" pitchFamily="34" charset="0"/>
                  </a:rPr>
                  <a:t>Percentage</a:t>
                </a:r>
                <a:r>
                  <a:rPr lang="en-GB" sz="900" b="0" baseline="0">
                    <a:latin typeface="Arial" pitchFamily="34" charset="0"/>
                    <a:cs typeface="Arial" pitchFamily="34" charset="0"/>
                  </a:rPr>
                  <a:t> of Total Direct Disposal Impact</a:t>
                </a:r>
                <a:endParaRPr lang="en-GB" sz="90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3.3333333333333333E-2"/>
              <c:y val="0.2401962187881595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/>
          <a:lstStyle/>
          <a:p>
            <a:pPr>
              <a:defRPr lang="en-GB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66487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8042226487523993"/>
          <c:y val="2.1390374331550801E-2"/>
          <c:w val="0.75047984644913623"/>
          <c:h val="0.20320855614973263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GB" sz="9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969696"/>
      </a:solidFill>
      <a:prstDash val="solid"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819879308500801"/>
          <c:y val="0.16901369706000302"/>
          <c:w val="0.86116263533362802"/>
          <c:h val="0.6103272393833461"/>
        </c:manualLayout>
      </c:layout>
      <c:barChart>
        <c:barDir val="col"/>
        <c:grouping val="stacked"/>
        <c:ser>
          <c:idx val="0"/>
          <c:order val="0"/>
          <c:tx>
            <c:strRef>
              <c:f>'WAGR Transport'!$A$3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Transport'!$B$2:$D$2</c:f>
              <c:strCache>
                <c:ptCount val="3"/>
                <c:pt idx="0">
                  <c:v>Reference Case</c:v>
                </c:pt>
                <c:pt idx="1">
                  <c:v>x2 Specialised Transport</c:v>
                </c:pt>
                <c:pt idx="2">
                  <c:v>x10 Specialised Transport</c:v>
                </c:pt>
              </c:strCache>
            </c:strRef>
          </c:cat>
          <c:val>
            <c:numRef>
              <c:f>'WAGR Transport'!$B$3:$D$3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Transport'!$A$4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Transport'!$B$2:$D$2</c:f>
              <c:strCache>
                <c:ptCount val="3"/>
                <c:pt idx="0">
                  <c:v>Reference Case</c:v>
                </c:pt>
                <c:pt idx="1">
                  <c:v>x2 Specialised Transport</c:v>
                </c:pt>
                <c:pt idx="2">
                  <c:v>x10 Specialised Transport</c:v>
                </c:pt>
              </c:strCache>
            </c:strRef>
          </c:cat>
          <c:val>
            <c:numRef>
              <c:f>'WAGR Transport'!$B$4:$D$4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'WAGR Transport'!$A$5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Transport'!$B$2:$D$2</c:f>
              <c:strCache>
                <c:ptCount val="3"/>
                <c:pt idx="0">
                  <c:v>Reference Case</c:v>
                </c:pt>
                <c:pt idx="1">
                  <c:v>x2 Specialised Transport</c:v>
                </c:pt>
                <c:pt idx="2">
                  <c:v>x10 Specialised Transport</c:v>
                </c:pt>
              </c:strCache>
            </c:strRef>
          </c:cat>
          <c:val>
            <c:numRef>
              <c:f>'WAGR Transport'!$B$5:$D$5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'WAGR Transport'!$A$6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Transport'!$B$2:$D$2</c:f>
              <c:strCache>
                <c:ptCount val="3"/>
                <c:pt idx="0">
                  <c:v>Reference Case</c:v>
                </c:pt>
                <c:pt idx="1">
                  <c:v>x2 Specialised Transport</c:v>
                </c:pt>
                <c:pt idx="2">
                  <c:v>x10 Specialised Transport</c:v>
                </c:pt>
              </c:strCache>
            </c:strRef>
          </c:cat>
          <c:val>
            <c:numRef>
              <c:f>'WAGR Transport'!$B$6:$D$6</c:f>
              <c:numCache>
                <c:formatCode>0.00E+00</c:formatCode>
                <c:ptCount val="3"/>
                <c:pt idx="0">
                  <c:v>440</c:v>
                </c:pt>
                <c:pt idx="1">
                  <c:v>880</c:v>
                </c:pt>
                <c:pt idx="2">
                  <c:v>4430</c:v>
                </c:pt>
              </c:numCache>
            </c:numRef>
          </c:val>
        </c:ser>
        <c:ser>
          <c:idx val="4"/>
          <c:order val="4"/>
          <c:tx>
            <c:strRef>
              <c:f>'WAGR Transport'!$A$7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Transport'!$B$2:$D$2</c:f>
              <c:strCache>
                <c:ptCount val="3"/>
                <c:pt idx="0">
                  <c:v>Reference Case</c:v>
                </c:pt>
                <c:pt idx="1">
                  <c:v>x2 Specialised Transport</c:v>
                </c:pt>
                <c:pt idx="2">
                  <c:v>x10 Specialised Transport</c:v>
                </c:pt>
              </c:strCache>
            </c:strRef>
          </c:cat>
          <c:val>
            <c:numRef>
              <c:f>'WAGR Transport'!$B$7:$D$7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strRef>
              <c:f>'WAGR Transport'!$A$8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Transport'!$B$2:$D$2</c:f>
              <c:strCache>
                <c:ptCount val="3"/>
                <c:pt idx="0">
                  <c:v>Reference Case</c:v>
                </c:pt>
                <c:pt idx="1">
                  <c:v>x2 Specialised Transport</c:v>
                </c:pt>
                <c:pt idx="2">
                  <c:v>x10 Specialised Transport</c:v>
                </c:pt>
              </c:strCache>
            </c:strRef>
          </c:cat>
          <c:val>
            <c:numRef>
              <c:f>'WAGR Transport'!$B$8:$D$8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'WAGR Transport'!$A$9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Transport'!$B$2:$D$2</c:f>
              <c:strCache>
                <c:ptCount val="3"/>
                <c:pt idx="0">
                  <c:v>Reference Case</c:v>
                </c:pt>
                <c:pt idx="1">
                  <c:v>x2 Specialised Transport</c:v>
                </c:pt>
                <c:pt idx="2">
                  <c:v>x10 Specialised Transport</c:v>
                </c:pt>
              </c:strCache>
            </c:strRef>
          </c:cat>
          <c:val>
            <c:numRef>
              <c:f>'WAGR Transport'!$B$9:$D$9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'WAGR Transport'!$A$10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Transport'!$B$2:$D$2</c:f>
              <c:strCache>
                <c:ptCount val="3"/>
                <c:pt idx="0">
                  <c:v>Reference Case</c:v>
                </c:pt>
                <c:pt idx="1">
                  <c:v>x2 Specialised Transport</c:v>
                </c:pt>
                <c:pt idx="2">
                  <c:v>x10 Specialised Transport</c:v>
                </c:pt>
              </c:strCache>
            </c:strRef>
          </c:cat>
          <c:val>
            <c:numRef>
              <c:f>'WAGR Transport'!$B$10:$D$10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8"/>
          <c:order val="8"/>
          <c:tx>
            <c:strRef>
              <c:f>'WAGR Transport'!$A$11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Transport'!$B$2:$D$2</c:f>
              <c:strCache>
                <c:ptCount val="3"/>
                <c:pt idx="0">
                  <c:v>Reference Case</c:v>
                </c:pt>
                <c:pt idx="1">
                  <c:v>x2 Specialised Transport</c:v>
                </c:pt>
                <c:pt idx="2">
                  <c:v>x10 Specialised Transport</c:v>
                </c:pt>
              </c:strCache>
            </c:strRef>
          </c:cat>
          <c:val>
            <c:numRef>
              <c:f>'WAGR Transport'!$B$11:$D$11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9"/>
          <c:order val="9"/>
          <c:tx>
            <c:strRef>
              <c:f>'WAGR Transport'!$A$12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Transport'!$B$2:$D$2</c:f>
              <c:strCache>
                <c:ptCount val="3"/>
                <c:pt idx="0">
                  <c:v>Reference Case</c:v>
                </c:pt>
                <c:pt idx="1">
                  <c:v>x2 Specialised Transport</c:v>
                </c:pt>
                <c:pt idx="2">
                  <c:v>x10 Specialised Transport</c:v>
                </c:pt>
              </c:strCache>
            </c:strRef>
          </c:cat>
          <c:val>
            <c:numRef>
              <c:f>'WAGR Transport'!$B$12:$D$12</c:f>
              <c:numCache>
                <c:formatCode>0.00E+00</c:formatCode>
                <c:ptCount val="3"/>
                <c:pt idx="0">
                  <c:v>101000</c:v>
                </c:pt>
                <c:pt idx="1">
                  <c:v>101000</c:v>
                </c:pt>
                <c:pt idx="2">
                  <c:v>101000</c:v>
                </c:pt>
              </c:numCache>
            </c:numRef>
          </c:val>
        </c:ser>
        <c:ser>
          <c:idx val="10"/>
          <c:order val="10"/>
          <c:tx>
            <c:strRef>
              <c:f>'WAGR Transport'!$A$13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Transport'!$B$2:$D$2</c:f>
              <c:strCache>
                <c:ptCount val="3"/>
                <c:pt idx="0">
                  <c:v>Reference Case</c:v>
                </c:pt>
                <c:pt idx="1">
                  <c:v>x2 Specialised Transport</c:v>
                </c:pt>
                <c:pt idx="2">
                  <c:v>x10 Specialised Transport</c:v>
                </c:pt>
              </c:strCache>
            </c:strRef>
          </c:cat>
          <c:val>
            <c:numRef>
              <c:f>'WAGR Transport'!$B$13:$D$13</c:f>
              <c:numCache>
                <c:formatCode>0.00E+00</c:formatCode>
                <c:ptCount val="3"/>
                <c:pt idx="0">
                  <c:v>2280</c:v>
                </c:pt>
                <c:pt idx="1">
                  <c:v>2280</c:v>
                </c:pt>
                <c:pt idx="2">
                  <c:v>2280</c:v>
                </c:pt>
              </c:numCache>
            </c:numRef>
          </c:val>
        </c:ser>
        <c:ser>
          <c:idx val="11"/>
          <c:order val="11"/>
          <c:tx>
            <c:strRef>
              <c:f>'WAGR Transport'!$A$14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Transport'!$B$2:$D$2</c:f>
              <c:strCache>
                <c:ptCount val="3"/>
                <c:pt idx="0">
                  <c:v>Reference Case</c:v>
                </c:pt>
                <c:pt idx="1">
                  <c:v>x2 Specialised Transport</c:v>
                </c:pt>
                <c:pt idx="2">
                  <c:v>x10 Specialised Transport</c:v>
                </c:pt>
              </c:strCache>
            </c:strRef>
          </c:cat>
          <c:val>
            <c:numRef>
              <c:f>'WAGR Transport'!$B$14:$D$14</c:f>
              <c:numCache>
                <c:formatCode>0.00E+00</c:formatCode>
                <c:ptCount val="3"/>
                <c:pt idx="0">
                  <c:v>18400</c:v>
                </c:pt>
                <c:pt idx="1">
                  <c:v>18400</c:v>
                </c:pt>
                <c:pt idx="2">
                  <c:v>18400</c:v>
                </c:pt>
              </c:numCache>
            </c:numRef>
          </c:val>
        </c:ser>
        <c:overlap val="100"/>
        <c:axId val="47471232"/>
        <c:axId val="47502080"/>
      </c:barChart>
      <c:catAx>
        <c:axId val="47471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Transport Variation</a:t>
                </a:r>
              </a:p>
            </c:rich>
          </c:tx>
          <c:layout>
            <c:manualLayout>
              <c:xMode val="edge"/>
              <c:yMode val="edge"/>
              <c:x val="0.48387124218872962"/>
              <c:y val="0.87793238778906579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502080"/>
        <c:crosses val="autoZero"/>
        <c:auto val="1"/>
        <c:lblAlgn val="ctr"/>
        <c:lblOffset val="100"/>
        <c:tickLblSkip val="1"/>
        <c:tickMarkSkip val="1"/>
      </c:catAx>
      <c:valAx>
        <c:axId val="475020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4668002399213872E-2"/>
              <c:y val="0.23474138287919058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47123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07293354943274"/>
          <c:y val="0.90822925149150069"/>
          <c:w val="0.66612641815235007"/>
          <c:h val="5.379755148207494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701499165662511E-2"/>
          <c:y val="0.13740483622979102"/>
          <c:w val="0.88432896240846703"/>
          <c:h val="0.38549690164469114"/>
        </c:manualLayout>
      </c:layout>
      <c:barChart>
        <c:barDir val="col"/>
        <c:grouping val="clustered"/>
        <c:ser>
          <c:idx val="0"/>
          <c:order val="0"/>
          <c:tx>
            <c:strRef>
              <c:f>'WAGR Transport'!$B$18</c:f>
              <c:strCache>
                <c:ptCount val="1"/>
                <c:pt idx="0">
                  <c:v>Reference Case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Transport'!$A$19:$A$29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Transport'!$B$19:$B$29</c:f>
              <c:numCache>
                <c:formatCode>0.00</c:formatCode>
                <c:ptCount val="11"/>
                <c:pt idx="0">
                  <c:v>21.3</c:v>
                </c:pt>
                <c:pt idx="1">
                  <c:v>0.126</c:v>
                </c:pt>
                <c:pt idx="2">
                  <c:v>121</c:v>
                </c:pt>
                <c:pt idx="3">
                  <c:v>35.1</c:v>
                </c:pt>
                <c:pt idx="4">
                  <c:v>0.65200000000000002</c:v>
                </c:pt>
                <c:pt idx="5">
                  <c:v>1.84E-2</c:v>
                </c:pt>
                <c:pt idx="6">
                  <c:v>13.5</c:v>
                </c:pt>
                <c:pt idx="7">
                  <c:v>4.33</c:v>
                </c:pt>
                <c:pt idx="8">
                  <c:v>5.82</c:v>
                </c:pt>
                <c:pt idx="9">
                  <c:v>41.2</c:v>
                </c:pt>
                <c:pt idx="10">
                  <c:v>163</c:v>
                </c:pt>
              </c:numCache>
            </c:numRef>
          </c:val>
        </c:ser>
        <c:ser>
          <c:idx val="1"/>
          <c:order val="1"/>
          <c:tx>
            <c:strRef>
              <c:f>'WAGR Transport'!$C$18</c:f>
              <c:strCache>
                <c:ptCount val="1"/>
                <c:pt idx="0">
                  <c:v>x2 Specialised Transport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Transport'!$A$19:$A$29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Transport'!$C$19:$C$29</c:f>
              <c:numCache>
                <c:formatCode>0.00</c:formatCode>
                <c:ptCount val="11"/>
                <c:pt idx="0">
                  <c:v>21.3</c:v>
                </c:pt>
                <c:pt idx="1">
                  <c:v>0.126</c:v>
                </c:pt>
                <c:pt idx="2">
                  <c:v>122</c:v>
                </c:pt>
                <c:pt idx="3">
                  <c:v>35.200000000000003</c:v>
                </c:pt>
                <c:pt idx="4">
                  <c:v>0.65200000000000002</c:v>
                </c:pt>
                <c:pt idx="5">
                  <c:v>1.8499999999999999E-2</c:v>
                </c:pt>
                <c:pt idx="6">
                  <c:v>13.5</c:v>
                </c:pt>
                <c:pt idx="7">
                  <c:v>4.3600000000000003</c:v>
                </c:pt>
                <c:pt idx="8">
                  <c:v>5.82</c:v>
                </c:pt>
                <c:pt idx="9">
                  <c:v>41.3</c:v>
                </c:pt>
                <c:pt idx="10">
                  <c:v>164</c:v>
                </c:pt>
              </c:numCache>
            </c:numRef>
          </c:val>
        </c:ser>
        <c:ser>
          <c:idx val="2"/>
          <c:order val="2"/>
          <c:tx>
            <c:strRef>
              <c:f>'WAGR Transport'!$D$18</c:f>
              <c:strCache>
                <c:ptCount val="1"/>
                <c:pt idx="0">
                  <c:v>x10 Specialised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Transport'!$A$19:$A$29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Transport'!$D$19:$D$29</c:f>
              <c:numCache>
                <c:formatCode>0.00</c:formatCode>
                <c:ptCount val="11"/>
                <c:pt idx="0">
                  <c:v>21.4</c:v>
                </c:pt>
                <c:pt idx="1">
                  <c:v>0.13200000000000001</c:v>
                </c:pt>
                <c:pt idx="2">
                  <c:v>12.5</c:v>
                </c:pt>
                <c:pt idx="3">
                  <c:v>36</c:v>
                </c:pt>
                <c:pt idx="4">
                  <c:v>0.65400000000000003</c:v>
                </c:pt>
                <c:pt idx="5">
                  <c:v>1.9E-2</c:v>
                </c:pt>
                <c:pt idx="6">
                  <c:v>13.6</c:v>
                </c:pt>
                <c:pt idx="7">
                  <c:v>4.58</c:v>
                </c:pt>
                <c:pt idx="8">
                  <c:v>5.9</c:v>
                </c:pt>
                <c:pt idx="9">
                  <c:v>41.3</c:v>
                </c:pt>
                <c:pt idx="10">
                  <c:v>172</c:v>
                </c:pt>
              </c:numCache>
            </c:numRef>
          </c:val>
        </c:ser>
        <c:axId val="47601536"/>
        <c:axId val="47611904"/>
      </c:barChart>
      <c:catAx>
        <c:axId val="476015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8113205460338526"/>
              <c:y val="0.9011395975503062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611904"/>
        <c:crosses val="autoZero"/>
        <c:auto val="1"/>
        <c:lblAlgn val="ctr"/>
        <c:lblOffset val="100"/>
        <c:tickLblSkip val="1"/>
        <c:tickMarkSkip val="1"/>
      </c:catAx>
      <c:valAx>
        <c:axId val="476119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4528303492047286E-2"/>
              <c:y val="0.20912517935258093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60153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604538087520262"/>
          <c:y val="2.1390374331550801E-2"/>
          <c:w val="0.43922204213938409"/>
          <c:h val="5.614973262032085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654146034776298"/>
          <c:y val="0.15322603271390803"/>
          <c:w val="0.86466244774146794"/>
          <c:h val="0.33467791355932408"/>
        </c:manualLayout>
      </c:layout>
      <c:barChart>
        <c:barDir val="col"/>
        <c:grouping val="clustered"/>
        <c:ser>
          <c:idx val="0"/>
          <c:order val="0"/>
          <c:tx>
            <c:strRef>
              <c:f>'WAGR Transport'!$B$31</c:f>
              <c:strCache>
                <c:ptCount val="1"/>
                <c:pt idx="0">
                  <c:v>Reference Case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Transport'!$A$32:$A$42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Transport'!$B$32:$B$42</c:f>
              <c:numCache>
                <c:formatCode>General</c:formatCode>
                <c:ptCount val="11"/>
                <c:pt idx="0" formatCode="0.00E+00">
                  <c:v>8510</c:v>
                </c:pt>
                <c:pt idx="1">
                  <c:v>50.2</c:v>
                </c:pt>
                <c:pt idx="2" formatCode="0.00E+00">
                  <c:v>48600</c:v>
                </c:pt>
                <c:pt idx="3" formatCode="0.00E+00">
                  <c:v>14100</c:v>
                </c:pt>
                <c:pt idx="4" formatCode="0.00E+00">
                  <c:v>261</c:v>
                </c:pt>
                <c:pt idx="5">
                  <c:v>7.36</c:v>
                </c:pt>
                <c:pt idx="6" formatCode="0.00E+00">
                  <c:v>5380</c:v>
                </c:pt>
                <c:pt idx="7" formatCode="0.00E+00">
                  <c:v>1730</c:v>
                </c:pt>
                <c:pt idx="8" formatCode="0.00E+00">
                  <c:v>2330</c:v>
                </c:pt>
                <c:pt idx="9" formatCode="0.00E+00">
                  <c:v>8250</c:v>
                </c:pt>
                <c:pt idx="10" formatCode="0.00E+00">
                  <c:v>32600</c:v>
                </c:pt>
              </c:numCache>
            </c:numRef>
          </c:val>
        </c:ser>
        <c:ser>
          <c:idx val="1"/>
          <c:order val="1"/>
          <c:tx>
            <c:strRef>
              <c:f>'WAGR Transport'!$C$31</c:f>
              <c:strCache>
                <c:ptCount val="1"/>
                <c:pt idx="0">
                  <c:v>x2 Specialised Transport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Transport'!$A$32:$A$42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Transport'!$C$32:$C$42</c:f>
              <c:numCache>
                <c:formatCode>General</c:formatCode>
                <c:ptCount val="11"/>
                <c:pt idx="0" formatCode="0.00E+00">
                  <c:v>8520</c:v>
                </c:pt>
                <c:pt idx="1">
                  <c:v>50.5</c:v>
                </c:pt>
                <c:pt idx="2" formatCode="0.00E+00">
                  <c:v>48800</c:v>
                </c:pt>
                <c:pt idx="3" formatCode="0.00E+00">
                  <c:v>14100</c:v>
                </c:pt>
                <c:pt idx="4" formatCode="0.00E+00">
                  <c:v>261</c:v>
                </c:pt>
                <c:pt idx="5">
                  <c:v>7.36</c:v>
                </c:pt>
                <c:pt idx="6" formatCode="0.00E+00">
                  <c:v>5390</c:v>
                </c:pt>
                <c:pt idx="7" formatCode="0.00E+00">
                  <c:v>1740</c:v>
                </c:pt>
                <c:pt idx="8" formatCode="0.00E+00">
                  <c:v>2330</c:v>
                </c:pt>
                <c:pt idx="9" formatCode="0.00E+00">
                  <c:v>8250</c:v>
                </c:pt>
                <c:pt idx="10" formatCode="0.00E+00">
                  <c:v>32800</c:v>
                </c:pt>
              </c:numCache>
            </c:numRef>
          </c:val>
        </c:ser>
        <c:ser>
          <c:idx val="2"/>
          <c:order val="2"/>
          <c:tx>
            <c:strRef>
              <c:f>'WAGR Transport'!$D$31</c:f>
              <c:strCache>
                <c:ptCount val="1"/>
                <c:pt idx="0">
                  <c:v>x10 Specialised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Transport'!$A$32:$A$42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Transport'!$D$32:$D$42</c:f>
              <c:numCache>
                <c:formatCode>General</c:formatCode>
                <c:ptCount val="11"/>
                <c:pt idx="0" formatCode="0.00E+00">
                  <c:v>8550</c:v>
                </c:pt>
                <c:pt idx="1">
                  <c:v>52.8</c:v>
                </c:pt>
                <c:pt idx="2" formatCode="0.00E+00">
                  <c:v>50100</c:v>
                </c:pt>
                <c:pt idx="3" formatCode="0.00E+00">
                  <c:v>14400</c:v>
                </c:pt>
                <c:pt idx="4" formatCode="0.00E+00">
                  <c:v>262</c:v>
                </c:pt>
                <c:pt idx="5">
                  <c:v>7.63</c:v>
                </c:pt>
                <c:pt idx="6" formatCode="0.00E+00">
                  <c:v>5440</c:v>
                </c:pt>
                <c:pt idx="7" formatCode="0.00E+00">
                  <c:v>1830</c:v>
                </c:pt>
                <c:pt idx="8" formatCode="0.00E+00">
                  <c:v>2360</c:v>
                </c:pt>
                <c:pt idx="9" formatCode="0.00E+00">
                  <c:v>8270</c:v>
                </c:pt>
                <c:pt idx="10" formatCode="0.00E+00">
                  <c:v>34500</c:v>
                </c:pt>
              </c:numCache>
            </c:numRef>
          </c:val>
        </c:ser>
        <c:axId val="47260800"/>
        <c:axId val="47262720"/>
      </c:barChart>
      <c:catAx>
        <c:axId val="472608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239548487811574"/>
              <c:y val="0.8938764068104052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262720"/>
        <c:crosses val="autoZero"/>
        <c:auto val="1"/>
        <c:lblAlgn val="ctr"/>
        <c:lblOffset val="100"/>
        <c:tickLblSkip val="1"/>
        <c:tickMarkSkip val="1"/>
      </c:catAx>
      <c:valAx>
        <c:axId val="472627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Score (Pt)</a:t>
                </a:r>
              </a:p>
            </c:rich>
          </c:tx>
          <c:layout>
            <c:manualLayout>
              <c:xMode val="edge"/>
              <c:yMode val="edge"/>
              <c:x val="2.4714631259327879E-2"/>
              <c:y val="0.14693847823995823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26080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4844517184941"/>
          <c:y val="2.6178043932586423E-2"/>
          <c:w val="0.44353518821603927"/>
          <c:h val="6.282730543820741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977189091367302"/>
          <c:y val="0.20253154125279102"/>
          <c:w val="0.85931578877746484"/>
          <c:h val="0.63291106641497219"/>
        </c:manualLayout>
      </c:layout>
      <c:barChart>
        <c:barDir val="col"/>
        <c:grouping val="stacked"/>
        <c:ser>
          <c:idx val="0"/>
          <c:order val="0"/>
          <c:tx>
            <c:strRef>
              <c:f>'WAGR Transport'!$A$47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Transport'!$B$46:$E$46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Transport'!$B$47:$E$47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Transport'!$A$48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Transport'!$B$46:$E$46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Transport'!$B$48:$E$48</c:f>
              <c:numCache>
                <c:formatCode>0.00E+00</c:formatCode>
                <c:ptCount val="4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</c:numCache>
            </c:numRef>
          </c:val>
        </c:ser>
        <c:ser>
          <c:idx val="2"/>
          <c:order val="2"/>
          <c:tx>
            <c:strRef>
              <c:f>'WAGR Transport'!$A$49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Transport'!$B$46:$E$46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Transport'!$B$49:$E$49</c:f>
              <c:numCache>
                <c:formatCode>0.00E+00</c:formatCode>
                <c:ptCount val="4"/>
                <c:pt idx="0">
                  <c:v>923</c:v>
                </c:pt>
                <c:pt idx="1">
                  <c:v>923</c:v>
                </c:pt>
                <c:pt idx="2">
                  <c:v>923</c:v>
                </c:pt>
                <c:pt idx="3">
                  <c:v>923</c:v>
                </c:pt>
              </c:numCache>
            </c:numRef>
          </c:val>
        </c:ser>
        <c:ser>
          <c:idx val="3"/>
          <c:order val="3"/>
          <c:tx>
            <c:strRef>
              <c:f>'WAGR Transport'!$A$50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Transport'!$B$46:$E$46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Transport'!$B$50:$E$50</c:f>
              <c:numCache>
                <c:formatCode>0.00E+00</c:formatCode>
                <c:ptCount val="4"/>
                <c:pt idx="0">
                  <c:v>1506</c:v>
                </c:pt>
                <c:pt idx="1">
                  <c:v>2716</c:v>
                </c:pt>
                <c:pt idx="2">
                  <c:v>5126</c:v>
                </c:pt>
                <c:pt idx="3">
                  <c:v>12310</c:v>
                </c:pt>
              </c:numCache>
            </c:numRef>
          </c:val>
        </c:ser>
        <c:ser>
          <c:idx val="4"/>
          <c:order val="4"/>
          <c:tx>
            <c:strRef>
              <c:f>'WAGR Transport'!$A$51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Transport'!$B$46:$E$46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Transport'!$B$51:$E$51</c:f>
              <c:numCache>
                <c:formatCode>0.00E+00</c:formatCode>
                <c:ptCount val="4"/>
                <c:pt idx="0">
                  <c:v>4070</c:v>
                </c:pt>
                <c:pt idx="1">
                  <c:v>4070</c:v>
                </c:pt>
                <c:pt idx="2">
                  <c:v>4070</c:v>
                </c:pt>
                <c:pt idx="3">
                  <c:v>4070</c:v>
                </c:pt>
              </c:numCache>
            </c:numRef>
          </c:val>
        </c:ser>
        <c:ser>
          <c:idx val="5"/>
          <c:order val="5"/>
          <c:tx>
            <c:strRef>
              <c:f>'WAGR Transport'!$A$52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Transport'!$B$46:$E$46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Transport'!$B$52:$E$52</c:f>
              <c:numCache>
                <c:formatCode>0.00E+00</c:formatCode>
                <c:ptCount val="4"/>
                <c:pt idx="0">
                  <c:v>3234</c:v>
                </c:pt>
                <c:pt idx="1">
                  <c:v>3234</c:v>
                </c:pt>
                <c:pt idx="2">
                  <c:v>3234</c:v>
                </c:pt>
                <c:pt idx="3">
                  <c:v>3234</c:v>
                </c:pt>
              </c:numCache>
            </c:numRef>
          </c:val>
        </c:ser>
        <c:ser>
          <c:idx val="6"/>
          <c:order val="6"/>
          <c:tx>
            <c:strRef>
              <c:f>'WAGR Transport'!$A$53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Transport'!$B$46:$E$46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Transport'!$B$53:$E$53</c:f>
              <c:numCache>
                <c:formatCode>0.00E+00</c:formatCode>
                <c:ptCount val="4"/>
                <c:pt idx="0">
                  <c:v>4550</c:v>
                </c:pt>
                <c:pt idx="1">
                  <c:v>4550</c:v>
                </c:pt>
                <c:pt idx="2">
                  <c:v>4550</c:v>
                </c:pt>
                <c:pt idx="3">
                  <c:v>4550</c:v>
                </c:pt>
              </c:numCache>
            </c:numRef>
          </c:val>
        </c:ser>
        <c:ser>
          <c:idx val="7"/>
          <c:order val="7"/>
          <c:tx>
            <c:strRef>
              <c:f>'WAGR Transport'!$A$54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Transport'!$B$46:$E$46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Transport'!$B$54:$E$54</c:f>
              <c:numCache>
                <c:formatCode>0.00E+00</c:formatCode>
                <c:ptCount val="4"/>
                <c:pt idx="0">
                  <c:v>4169</c:v>
                </c:pt>
                <c:pt idx="1">
                  <c:v>4169</c:v>
                </c:pt>
                <c:pt idx="2">
                  <c:v>4169</c:v>
                </c:pt>
                <c:pt idx="3">
                  <c:v>4169</c:v>
                </c:pt>
              </c:numCache>
            </c:numRef>
          </c:val>
        </c:ser>
        <c:ser>
          <c:idx val="8"/>
          <c:order val="8"/>
          <c:tx>
            <c:strRef>
              <c:f>'WAGR Transport'!$A$55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Transport'!$B$46:$E$46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Transport'!$B$55:$E$55</c:f>
              <c:numCache>
                <c:formatCode>0.00E+00</c:formatCode>
                <c:ptCount val="4"/>
                <c:pt idx="0">
                  <c:v>-73600</c:v>
                </c:pt>
                <c:pt idx="1">
                  <c:v>-73600</c:v>
                </c:pt>
                <c:pt idx="2">
                  <c:v>-73600</c:v>
                </c:pt>
                <c:pt idx="3">
                  <c:v>-73600</c:v>
                </c:pt>
              </c:numCache>
            </c:numRef>
          </c:val>
        </c:ser>
        <c:ser>
          <c:idx val="9"/>
          <c:order val="9"/>
          <c:tx>
            <c:strRef>
              <c:f>'WAGR Transport'!$A$56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Transport'!$B$46:$E$46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Transport'!$B$56:$E$56</c:f>
              <c:numCache>
                <c:formatCode>0.00E+00</c:formatCode>
                <c:ptCount val="4"/>
                <c:pt idx="0">
                  <c:v>5252</c:v>
                </c:pt>
                <c:pt idx="1">
                  <c:v>5252</c:v>
                </c:pt>
                <c:pt idx="2">
                  <c:v>5252</c:v>
                </c:pt>
                <c:pt idx="3">
                  <c:v>5252</c:v>
                </c:pt>
              </c:numCache>
            </c:numRef>
          </c:val>
        </c:ser>
        <c:ser>
          <c:idx val="10"/>
          <c:order val="10"/>
          <c:tx>
            <c:strRef>
              <c:f>'WAGR Transport'!$A$57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Transport'!$B$46:$E$46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Transport'!$B$57:$E$57</c:f>
              <c:numCache>
                <c:formatCode>0.00E+00</c:formatCode>
                <c:ptCount val="4"/>
                <c:pt idx="0">
                  <c:v>320.7</c:v>
                </c:pt>
                <c:pt idx="1">
                  <c:v>320.7</c:v>
                </c:pt>
                <c:pt idx="2">
                  <c:v>320.7</c:v>
                </c:pt>
                <c:pt idx="3">
                  <c:v>320.7</c:v>
                </c:pt>
              </c:numCache>
            </c:numRef>
          </c:val>
        </c:ser>
        <c:ser>
          <c:idx val="11"/>
          <c:order val="11"/>
          <c:tx>
            <c:strRef>
              <c:f>'WAGR Transport'!$A$58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Transport'!$B$46:$E$46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Transport'!$B$58:$E$58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overlap val="100"/>
        <c:axId val="47545728"/>
        <c:axId val="47552000"/>
      </c:barChart>
      <c:catAx>
        <c:axId val="47545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Transport Variation</a:t>
                </a:r>
              </a:p>
            </c:rich>
          </c:tx>
          <c:layout>
            <c:manualLayout>
              <c:xMode val="edge"/>
              <c:yMode val="edge"/>
              <c:x val="0.48461510567757976"/>
              <c:y val="0.88841207349081364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552000"/>
        <c:crosses val="autoZero"/>
        <c:auto val="1"/>
        <c:lblAlgn val="ctr"/>
        <c:lblOffset val="100"/>
        <c:tickLblSkip val="1"/>
        <c:tickMarkSkip val="1"/>
      </c:catAx>
      <c:valAx>
        <c:axId val="475520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Score (Pt)</a:t>
                </a:r>
              </a:p>
            </c:rich>
          </c:tx>
          <c:layout>
            <c:manualLayout>
              <c:xMode val="edge"/>
              <c:yMode val="edge"/>
              <c:x val="2.5000172675783951E-2"/>
              <c:y val="0.32188839676290465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54572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685347930836152"/>
          <c:y val="2.3376653024367169E-2"/>
          <c:w val="0.72322957683598321"/>
          <c:h val="0.1168832651218358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384610509028301"/>
          <c:y val="0.15384622987877503"/>
          <c:w val="0.874999589186641"/>
          <c:h val="0.70445378944491588"/>
        </c:manualLayout>
      </c:layout>
      <c:barChart>
        <c:barDir val="col"/>
        <c:grouping val="clustered"/>
        <c:ser>
          <c:idx val="0"/>
          <c:order val="0"/>
          <c:tx>
            <c:strRef>
              <c:f>'WAGR Transport'!$B$62</c:f>
              <c:strCache>
                <c:ptCount val="1"/>
                <c:pt idx="0">
                  <c:v>Reference Case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Transport'!$A$63:$A$73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Transport'!$B$63:$B$73</c:f>
              <c:numCache>
                <c:formatCode>0.00</c:formatCode>
                <c:ptCount val="11"/>
                <c:pt idx="0">
                  <c:v>21.8</c:v>
                </c:pt>
                <c:pt idx="1">
                  <c:v>-6.1700000000000004E-4</c:v>
                </c:pt>
                <c:pt idx="2">
                  <c:v>-133</c:v>
                </c:pt>
                <c:pt idx="3">
                  <c:v>-15.3</c:v>
                </c:pt>
                <c:pt idx="4">
                  <c:v>0.35199999999999998</c:v>
                </c:pt>
                <c:pt idx="5">
                  <c:v>2.2000000000000001E-3</c:v>
                </c:pt>
                <c:pt idx="6">
                  <c:v>10.199999999999999</c:v>
                </c:pt>
                <c:pt idx="7">
                  <c:v>-0.85399999999999998</c:v>
                </c:pt>
                <c:pt idx="8">
                  <c:v>-0.34399999999999997</c:v>
                </c:pt>
                <c:pt idx="9">
                  <c:v>-24.9</c:v>
                </c:pt>
                <c:pt idx="10">
                  <c:v>17.100000000000001</c:v>
                </c:pt>
              </c:numCache>
            </c:numRef>
          </c:val>
        </c:ser>
        <c:ser>
          <c:idx val="1"/>
          <c:order val="1"/>
          <c:tx>
            <c:strRef>
              <c:f>'WAGR Transport'!$C$62</c:f>
              <c:strCache>
                <c:ptCount val="1"/>
                <c:pt idx="0">
                  <c:v>x2 Specialised Transport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Transport'!$A$63:$A$73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Transport'!$C$63:$C$73</c:f>
              <c:numCache>
                <c:formatCode>0.00</c:formatCode>
                <c:ptCount val="11"/>
                <c:pt idx="0">
                  <c:v>21.8</c:v>
                </c:pt>
                <c:pt idx="1">
                  <c:v>-1.34E-4</c:v>
                </c:pt>
                <c:pt idx="2">
                  <c:v>-132</c:v>
                </c:pt>
                <c:pt idx="3">
                  <c:v>-15</c:v>
                </c:pt>
                <c:pt idx="4">
                  <c:v>0.35199999999999998</c:v>
                </c:pt>
                <c:pt idx="5">
                  <c:v>2.3999999999999998E-3</c:v>
                </c:pt>
                <c:pt idx="6">
                  <c:v>10.199999999999999</c:v>
                </c:pt>
                <c:pt idx="7">
                  <c:v>-0.77600000000000002</c:v>
                </c:pt>
                <c:pt idx="8">
                  <c:v>-0.33179999999999998</c:v>
                </c:pt>
                <c:pt idx="9">
                  <c:v>-24.8</c:v>
                </c:pt>
                <c:pt idx="10">
                  <c:v>19.899999999999999</c:v>
                </c:pt>
              </c:numCache>
            </c:numRef>
          </c:val>
        </c:ser>
        <c:ser>
          <c:idx val="2"/>
          <c:order val="2"/>
          <c:tx>
            <c:strRef>
              <c:f>'WAGR Transport'!$D$62</c:f>
              <c:strCache>
                <c:ptCount val="1"/>
                <c:pt idx="0">
                  <c:v>x4 Specialised Transport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Transport'!$A$63:$A$73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Transport'!$D$63:$D$73</c:f>
              <c:numCache>
                <c:formatCode>0.00</c:formatCode>
                <c:ptCount val="11"/>
                <c:pt idx="0">
                  <c:v>21.9</c:v>
                </c:pt>
                <c:pt idx="1">
                  <c:v>5.2500000000000003E-3</c:v>
                </c:pt>
                <c:pt idx="2">
                  <c:v>-130</c:v>
                </c:pt>
                <c:pt idx="3">
                  <c:v>-14.5</c:v>
                </c:pt>
                <c:pt idx="4">
                  <c:v>0.35399999999999998</c:v>
                </c:pt>
                <c:pt idx="5">
                  <c:v>2.81E-3</c:v>
                </c:pt>
                <c:pt idx="6">
                  <c:v>10.3</c:v>
                </c:pt>
                <c:pt idx="7">
                  <c:v>-0.621</c:v>
                </c:pt>
                <c:pt idx="8">
                  <c:v>-0.26600000000000001</c:v>
                </c:pt>
                <c:pt idx="9">
                  <c:v>-24.8</c:v>
                </c:pt>
                <c:pt idx="10">
                  <c:v>25.7</c:v>
                </c:pt>
              </c:numCache>
            </c:numRef>
          </c:val>
        </c:ser>
        <c:ser>
          <c:idx val="3"/>
          <c:order val="3"/>
          <c:tx>
            <c:strRef>
              <c:f>'WAGR Transport'!$E$62</c:f>
              <c:strCache>
                <c:ptCount val="1"/>
                <c:pt idx="0">
                  <c:v>x10 Specialised Transport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Transport'!$A$63:$A$73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Transport'!$E$63:$E$73</c:f>
              <c:numCache>
                <c:formatCode>0.00</c:formatCode>
                <c:ptCount val="11"/>
                <c:pt idx="0">
                  <c:v>22</c:v>
                </c:pt>
                <c:pt idx="1">
                  <c:v>1.7000000000000001E-2</c:v>
                </c:pt>
                <c:pt idx="2">
                  <c:v>-123</c:v>
                </c:pt>
                <c:pt idx="3">
                  <c:v>-13</c:v>
                </c:pt>
                <c:pt idx="4">
                  <c:v>0.35799999999999998</c:v>
                </c:pt>
                <c:pt idx="5">
                  <c:v>4.0499999999999998E-3</c:v>
                </c:pt>
                <c:pt idx="6">
                  <c:v>10.6</c:v>
                </c:pt>
                <c:pt idx="7">
                  <c:v>-0.154</c:v>
                </c:pt>
                <c:pt idx="8">
                  <c:v>-0.109</c:v>
                </c:pt>
                <c:pt idx="9">
                  <c:v>-24.6</c:v>
                </c:pt>
                <c:pt idx="10">
                  <c:v>42.8</c:v>
                </c:pt>
              </c:numCache>
            </c:numRef>
          </c:val>
        </c:ser>
        <c:axId val="47648128"/>
        <c:axId val="47666688"/>
      </c:barChart>
      <c:catAx>
        <c:axId val="476481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8449598029102087"/>
              <c:y val="0.895162504686914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666688"/>
        <c:crosses val="autoZero"/>
        <c:auto val="1"/>
        <c:lblAlgn val="ctr"/>
        <c:lblOffset val="100"/>
        <c:tickLblSkip val="1"/>
        <c:tickMarkSkip val="1"/>
      </c:catAx>
      <c:valAx>
        <c:axId val="476666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5193890564674439E-2"/>
              <c:y val="0.36290393700787404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64812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202364159612357"/>
          <c:y val="4.2735161634063483E-2"/>
          <c:w val="0.59535751476587562"/>
          <c:h val="5.982922628768887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4420551390788809E-2"/>
          <c:y val="0.13229590835878799"/>
          <c:w val="0.886265630099904"/>
          <c:h val="0.69649904694773901"/>
        </c:manualLayout>
      </c:layout>
      <c:barChart>
        <c:barDir val="col"/>
        <c:grouping val="clustered"/>
        <c:ser>
          <c:idx val="1"/>
          <c:order val="1"/>
          <c:tx>
            <c:strRef>
              <c:f>'General metal graphs'!$D$186</c:f>
              <c:strCache>
                <c:ptCount val="1"/>
                <c:pt idx="0">
                  <c:v>ILW</c:v>
                </c:pt>
              </c:strCache>
            </c:strRef>
          </c:tx>
          <c:spPr>
            <a:pattFill prst="wdUpDiag">
              <a:fgClr>
                <a:srgbClr val="FFB143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graphs'!$B$187:$B$197</c:f>
              <c:numCache>
                <c:formatCode>General</c:formatCode>
                <c:ptCount val="11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  <c:pt idx="6">
                  <c:v>2080</c:v>
                </c:pt>
                <c:pt idx="7">
                  <c:v>2090</c:v>
                </c:pt>
                <c:pt idx="8">
                  <c:v>2100</c:v>
                </c:pt>
                <c:pt idx="9">
                  <c:v>2110</c:v>
                </c:pt>
                <c:pt idx="10">
                  <c:v>2120</c:v>
                </c:pt>
              </c:numCache>
            </c:numRef>
          </c:cat>
          <c:val>
            <c:numRef>
              <c:f>'General metal graphs'!$D$187:$D$197</c:f>
              <c:numCache>
                <c:formatCode>General</c:formatCode>
                <c:ptCount val="11"/>
                <c:pt idx="0">
                  <c:v>20000</c:v>
                </c:pt>
                <c:pt idx="1">
                  <c:v>23000</c:v>
                </c:pt>
                <c:pt idx="2">
                  <c:v>23000</c:v>
                </c:pt>
                <c:pt idx="3">
                  <c:v>23000</c:v>
                </c:pt>
                <c:pt idx="4">
                  <c:v>9000</c:v>
                </c:pt>
                <c:pt idx="5">
                  <c:v>9000</c:v>
                </c:pt>
                <c:pt idx="6">
                  <c:v>20000</c:v>
                </c:pt>
                <c:pt idx="7">
                  <c:v>20000</c:v>
                </c:pt>
                <c:pt idx="8">
                  <c:v>20000</c:v>
                </c:pt>
                <c:pt idx="9">
                  <c:v>20000</c:v>
                </c:pt>
                <c:pt idx="10">
                  <c:v>20000</c:v>
                </c:pt>
              </c:numCache>
            </c:numRef>
          </c:val>
        </c:ser>
        <c:axId val="52914432"/>
        <c:axId val="52921088"/>
      </c:barChart>
      <c:lineChart>
        <c:grouping val="standard"/>
        <c:ser>
          <c:idx val="0"/>
          <c:order val="0"/>
          <c:tx>
            <c:strRef>
              <c:f>'General metal graphs'!$C$186</c:f>
              <c:strCache>
                <c:ptCount val="1"/>
                <c:pt idx="0">
                  <c:v>ILW m3/y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'General metal graphs'!$B$187:$B$197</c:f>
              <c:numCache>
                <c:formatCode>General</c:formatCode>
                <c:ptCount val="11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  <c:pt idx="6">
                  <c:v>2080</c:v>
                </c:pt>
                <c:pt idx="7">
                  <c:v>2090</c:v>
                </c:pt>
                <c:pt idx="8">
                  <c:v>2100</c:v>
                </c:pt>
                <c:pt idx="9">
                  <c:v>2110</c:v>
                </c:pt>
                <c:pt idx="10">
                  <c:v>2120</c:v>
                </c:pt>
              </c:numCache>
            </c:numRef>
          </c:cat>
          <c:val>
            <c:numRef>
              <c:f>'General metal graphs'!$C$187:$C$197</c:f>
              <c:numCache>
                <c:formatCode>General</c:formatCode>
                <c:ptCount val="11"/>
                <c:pt idx="0">
                  <c:v>2000</c:v>
                </c:pt>
                <c:pt idx="1">
                  <c:v>2300</c:v>
                </c:pt>
                <c:pt idx="2">
                  <c:v>2300</c:v>
                </c:pt>
                <c:pt idx="3">
                  <c:v>2300</c:v>
                </c:pt>
                <c:pt idx="4">
                  <c:v>900</c:v>
                </c:pt>
                <c:pt idx="5">
                  <c:v>900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</c:numCache>
            </c:numRef>
          </c:val>
        </c:ser>
        <c:marker val="1"/>
        <c:axId val="52914432"/>
        <c:axId val="52921088"/>
      </c:lineChart>
      <c:catAx>
        <c:axId val="529144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Decade</a:t>
                </a:r>
              </a:p>
            </c:rich>
          </c:tx>
          <c:layout>
            <c:manualLayout>
              <c:xMode val="edge"/>
              <c:yMode val="edge"/>
              <c:x val="0.50572530389008641"/>
              <c:y val="0.9159689168067475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921088"/>
        <c:crosses val="autoZero"/>
        <c:auto val="1"/>
        <c:lblAlgn val="ctr"/>
        <c:lblOffset val="100"/>
        <c:tickLblSkip val="1"/>
        <c:tickMarkSkip val="1"/>
      </c:catAx>
      <c:valAx>
        <c:axId val="529210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ILW Volume (M3)</a:t>
                </a:r>
              </a:p>
            </c:rich>
          </c:tx>
          <c:layout>
            <c:manualLayout>
              <c:xMode val="edge"/>
              <c:yMode val="edge"/>
              <c:x val="3.0534367561596703E-2"/>
              <c:y val="0.386555781650889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91443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969286020776468"/>
          <c:y val="2.4976963521058052E-2"/>
          <c:w val="0.15507710946767964"/>
          <c:h val="4.44034907041032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698113207547201"/>
          <c:y val="0.190722009507659"/>
          <c:w val="0.864150943396226"/>
          <c:h val="0.61855786867349016"/>
        </c:manualLayout>
      </c:layout>
      <c:barChart>
        <c:barDir val="col"/>
        <c:grouping val="clustered"/>
        <c:ser>
          <c:idx val="0"/>
          <c:order val="0"/>
          <c:tx>
            <c:strRef>
              <c:f>'WAGR Transport'!$B$75</c:f>
              <c:strCache>
                <c:ptCount val="1"/>
                <c:pt idx="0">
                  <c:v>Reference Case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Transport'!$A$76:$A$86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Transport'!$B$76:$B$86</c:f>
              <c:numCache>
                <c:formatCode>General</c:formatCode>
                <c:ptCount val="11"/>
                <c:pt idx="0" formatCode="0.00E+00">
                  <c:v>8710</c:v>
                </c:pt>
                <c:pt idx="1">
                  <c:v>-0.247</c:v>
                </c:pt>
                <c:pt idx="2" formatCode="0.00E+00">
                  <c:v>-53200</c:v>
                </c:pt>
                <c:pt idx="3" formatCode="0.00E+00">
                  <c:v>-6100</c:v>
                </c:pt>
                <c:pt idx="4" formatCode="0.00E+00">
                  <c:v>141</c:v>
                </c:pt>
                <c:pt idx="5">
                  <c:v>0.88</c:v>
                </c:pt>
                <c:pt idx="6" formatCode="0.00E+00">
                  <c:v>4060</c:v>
                </c:pt>
                <c:pt idx="7" formatCode="0.00E+00">
                  <c:v>-342</c:v>
                </c:pt>
                <c:pt idx="8" formatCode="0.00E+00">
                  <c:v>-138</c:v>
                </c:pt>
                <c:pt idx="9" formatCode="0.00E+00">
                  <c:v>-4970</c:v>
                </c:pt>
                <c:pt idx="10" formatCode="0.00E+00">
                  <c:v>3420</c:v>
                </c:pt>
              </c:numCache>
            </c:numRef>
          </c:val>
        </c:ser>
        <c:ser>
          <c:idx val="1"/>
          <c:order val="1"/>
          <c:tx>
            <c:strRef>
              <c:f>'WAGR Transport'!$C$75</c:f>
              <c:strCache>
                <c:ptCount val="1"/>
                <c:pt idx="0">
                  <c:v>x2 Specialised Transport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Transport'!$A$76:$A$86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Transport'!$C$76:$C$86</c:f>
              <c:numCache>
                <c:formatCode>General</c:formatCode>
                <c:ptCount val="11"/>
                <c:pt idx="0" formatCode="0.00E+00">
                  <c:v>8720</c:v>
                </c:pt>
                <c:pt idx="1">
                  <c:v>0.53500000000000003</c:v>
                </c:pt>
                <c:pt idx="2" formatCode="0.00E+00">
                  <c:v>-52700</c:v>
                </c:pt>
                <c:pt idx="3" formatCode="0.00E+00">
                  <c:v>-6000</c:v>
                </c:pt>
                <c:pt idx="4" formatCode="0.00E+00">
                  <c:v>141</c:v>
                </c:pt>
                <c:pt idx="5">
                  <c:v>0.96199999999999997</c:v>
                </c:pt>
                <c:pt idx="6" formatCode="0.00E+00">
                  <c:v>4080</c:v>
                </c:pt>
                <c:pt idx="7" formatCode="0.00E+00">
                  <c:v>-310</c:v>
                </c:pt>
                <c:pt idx="8" formatCode="0.00E+00">
                  <c:v>-127</c:v>
                </c:pt>
                <c:pt idx="9" formatCode="0.00E+00">
                  <c:v>-4970</c:v>
                </c:pt>
                <c:pt idx="10" formatCode="0.00E+00">
                  <c:v>3990</c:v>
                </c:pt>
              </c:numCache>
            </c:numRef>
          </c:val>
        </c:ser>
        <c:ser>
          <c:idx val="2"/>
          <c:order val="2"/>
          <c:tx>
            <c:strRef>
              <c:f>'WAGR Transport'!$D$75</c:f>
              <c:strCache>
                <c:ptCount val="1"/>
                <c:pt idx="0">
                  <c:v>x4 Specialised Transport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Transport'!$A$76:$A$86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Transport'!$D$76:$D$86</c:f>
              <c:numCache>
                <c:formatCode>General</c:formatCode>
                <c:ptCount val="11"/>
                <c:pt idx="0" formatCode="0.00E+00">
                  <c:v>8750</c:v>
                </c:pt>
                <c:pt idx="1">
                  <c:v>2.1</c:v>
                </c:pt>
                <c:pt idx="2" formatCode="0.00E+00">
                  <c:v>-51800</c:v>
                </c:pt>
                <c:pt idx="3" formatCode="0.00E+00">
                  <c:v>-5800</c:v>
                </c:pt>
                <c:pt idx="4" formatCode="0.00E+00">
                  <c:v>142</c:v>
                </c:pt>
                <c:pt idx="5">
                  <c:v>1.1299999999999999</c:v>
                </c:pt>
                <c:pt idx="6" formatCode="0.00E+00">
                  <c:v>4120</c:v>
                </c:pt>
                <c:pt idx="7" formatCode="0.00E+00">
                  <c:v>-248</c:v>
                </c:pt>
                <c:pt idx="8" formatCode="0.00E+00">
                  <c:v>-106</c:v>
                </c:pt>
                <c:pt idx="9" formatCode="0.00E+00">
                  <c:v>-4960</c:v>
                </c:pt>
                <c:pt idx="10" formatCode="0.00E+00">
                  <c:v>5130</c:v>
                </c:pt>
              </c:numCache>
            </c:numRef>
          </c:val>
        </c:ser>
        <c:ser>
          <c:idx val="3"/>
          <c:order val="3"/>
          <c:tx>
            <c:strRef>
              <c:f>'WAGR Transport'!$E$75</c:f>
              <c:strCache>
                <c:ptCount val="1"/>
                <c:pt idx="0">
                  <c:v>x10 Specialised Transport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Transport'!$A$76:$A$86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Transport'!$E$76:$E$86</c:f>
              <c:numCache>
                <c:formatCode>General</c:formatCode>
                <c:ptCount val="11"/>
                <c:pt idx="0" formatCode="0.00E+00">
                  <c:v>8820</c:v>
                </c:pt>
                <c:pt idx="1">
                  <c:v>6.79</c:v>
                </c:pt>
                <c:pt idx="2" formatCode="0.00E+00">
                  <c:v>-49100</c:v>
                </c:pt>
                <c:pt idx="3" formatCode="0.00E+00">
                  <c:v>-5190</c:v>
                </c:pt>
                <c:pt idx="4" formatCode="0.00E+00">
                  <c:v>143</c:v>
                </c:pt>
                <c:pt idx="5">
                  <c:v>1.62</c:v>
                </c:pt>
                <c:pt idx="6" formatCode="0.00E+00">
                  <c:v>4230</c:v>
                </c:pt>
                <c:pt idx="7" formatCode="0.00E+00">
                  <c:v>-61.6</c:v>
                </c:pt>
                <c:pt idx="8" formatCode="0.00E+00">
                  <c:v>-43.7</c:v>
                </c:pt>
                <c:pt idx="9" formatCode="0.00E+00">
                  <c:v>-4930</c:v>
                </c:pt>
                <c:pt idx="10" formatCode="0.00E+00">
                  <c:v>8560</c:v>
                </c:pt>
              </c:numCache>
            </c:numRef>
          </c:val>
        </c:ser>
        <c:axId val="47701376"/>
        <c:axId val="47777280"/>
      </c:barChart>
      <c:catAx>
        <c:axId val="47701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Ipact Category</a:t>
                </a:r>
              </a:p>
            </c:rich>
          </c:tx>
          <c:layout>
            <c:manualLayout>
              <c:xMode val="edge"/>
              <c:yMode val="edge"/>
              <c:x val="0.4999996591335174"/>
              <c:y val="0.8680200689199564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777280"/>
        <c:crosses val="autoZero"/>
        <c:auto val="1"/>
        <c:lblAlgn val="ctr"/>
        <c:lblOffset val="100"/>
        <c:tickLblSkip val="1"/>
        <c:tickMarkSkip val="1"/>
      </c:catAx>
      <c:valAx>
        <c:axId val="477772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Score(Pt)</a:t>
                </a:r>
              </a:p>
            </c:rich>
          </c:tx>
          <c:layout>
            <c:manualLayout>
              <c:xMode val="edge"/>
              <c:yMode val="edge"/>
              <c:x val="2.4809114769744692E-2"/>
              <c:y val="0.24365490028032208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70137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8863675096130449"/>
          <c:y val="0.9112627986348123"/>
          <c:w val="0.42045487873414572"/>
          <c:h val="7.508532423208191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5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9.4162001862090325E-2"/>
          <c:y val="0.109947433173023"/>
          <c:w val="0.87005689720571511"/>
          <c:h val="0.63874223081470616"/>
        </c:manualLayout>
      </c:layout>
      <c:scatterChart>
        <c:scatterStyle val="lineMarker"/>
        <c:ser>
          <c:idx val="0"/>
          <c:order val="0"/>
          <c:tx>
            <c:strRef>
              <c:f>'WAGR Transport'!$B$90</c:f>
              <c:strCache>
                <c:ptCount val="1"/>
                <c:pt idx="0">
                  <c:v>Impact (Pt)</c:v>
                </c:pt>
              </c:strCache>
            </c:strRef>
          </c:tx>
          <c:spPr>
            <a:ln w="3175">
              <a:solidFill>
                <a:srgbClr val="0066CC"/>
              </a:solidFill>
              <a:prstDash val="solid"/>
            </a:ln>
          </c:spPr>
          <c:marker>
            <c:symbol val="x"/>
            <c:size val="3"/>
            <c:spPr>
              <a:solidFill>
                <a:srgbClr val="FF66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'WAGR Transport'!$A$91:$A$97</c:f>
              <c:numCache>
                <c:formatCode>General</c:formatCode>
                <c:ptCount val="7"/>
                <c:pt idx="0">
                  <c:v>6</c:v>
                </c:pt>
                <c:pt idx="1">
                  <c:v>12</c:v>
                </c:pt>
                <c:pt idx="2">
                  <c:v>16.399999999999999</c:v>
                </c:pt>
                <c:pt idx="3">
                  <c:v>32.799999999999997</c:v>
                </c:pt>
                <c:pt idx="4">
                  <c:v>60</c:v>
                </c:pt>
                <c:pt idx="5">
                  <c:v>65.599999999999994</c:v>
                </c:pt>
                <c:pt idx="6">
                  <c:v>164</c:v>
                </c:pt>
              </c:numCache>
            </c:numRef>
          </c:xVal>
          <c:yVal>
            <c:numRef>
              <c:f>'WAGR Transport'!$B$91:$B$97</c:f>
              <c:numCache>
                <c:formatCode>General</c:formatCode>
                <c:ptCount val="7"/>
                <c:pt idx="0">
                  <c:v>440</c:v>
                </c:pt>
                <c:pt idx="1">
                  <c:v>880</c:v>
                </c:pt>
                <c:pt idx="2" formatCode="0.00E+00">
                  <c:v>1200</c:v>
                </c:pt>
                <c:pt idx="3" formatCode="0.00E+00">
                  <c:v>2400</c:v>
                </c:pt>
                <c:pt idx="4" formatCode="0.00E+00">
                  <c:v>4400</c:v>
                </c:pt>
                <c:pt idx="5" formatCode="0.00E+00">
                  <c:v>4800</c:v>
                </c:pt>
                <c:pt idx="6" formatCode="0.00E+00">
                  <c:v>12000</c:v>
                </c:pt>
              </c:numCache>
            </c:numRef>
          </c:yVal>
        </c:ser>
        <c:axId val="47796608"/>
        <c:axId val="47798912"/>
      </c:scatterChart>
      <c:valAx>
        <c:axId val="477966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(km)</a:t>
                </a:r>
              </a:p>
            </c:rich>
          </c:tx>
          <c:layout>
            <c:manualLayout>
              <c:xMode val="edge"/>
              <c:yMode val="edge"/>
              <c:x val="0.4809887415388866"/>
              <c:y val="0.86316003307805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798912"/>
        <c:crosses val="autoZero"/>
        <c:crossBetween val="midCat"/>
      </c:valAx>
      <c:valAx>
        <c:axId val="477989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(Pt)</a:t>
                </a:r>
              </a:p>
            </c:rich>
          </c:tx>
          <c:layout>
            <c:manualLayout>
              <c:xMode val="edge"/>
              <c:yMode val="edge"/>
              <c:x val="2.4714912280701752E-2"/>
              <c:y val="0.3105274511918886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796608"/>
        <c:crosses val="autoZero"/>
        <c:crossBetween val="midCat"/>
      </c:valAx>
      <c:spPr>
        <a:noFill/>
        <a:ln w="12700">
          <a:solidFill>
            <a:srgbClr val="3F77BE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264150943396201"/>
          <c:y val="0.21851871610850301"/>
          <c:w val="0.85849056603773599"/>
          <c:h val="0.6333339060093911"/>
        </c:manualLayout>
      </c:layout>
      <c:barChart>
        <c:barDir val="col"/>
        <c:grouping val="stacked"/>
        <c:ser>
          <c:idx val="0"/>
          <c:order val="0"/>
          <c:tx>
            <c:strRef>
              <c:f>'WAGR Transport'!$A$108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Transport'!$B$107:$E$107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Transport'!$B$108:$E$108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Transport'!$A$109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Transport'!$B$107:$E$107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Transport'!$B$109:$E$109</c:f>
              <c:numCache>
                <c:formatCode>0.00E+00</c:formatCode>
                <c:ptCount val="4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</c:numCache>
            </c:numRef>
          </c:val>
        </c:ser>
        <c:ser>
          <c:idx val="2"/>
          <c:order val="2"/>
          <c:tx>
            <c:strRef>
              <c:f>'WAGR Transport'!$A$110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Transport'!$B$107:$E$107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Transport'!$B$110:$E$110</c:f>
              <c:numCache>
                <c:formatCode>0.00E+00</c:formatCode>
                <c:ptCount val="4"/>
                <c:pt idx="0">
                  <c:v>923</c:v>
                </c:pt>
                <c:pt idx="1">
                  <c:v>923</c:v>
                </c:pt>
                <c:pt idx="2">
                  <c:v>923</c:v>
                </c:pt>
                <c:pt idx="3">
                  <c:v>923</c:v>
                </c:pt>
              </c:numCache>
            </c:numRef>
          </c:val>
        </c:ser>
        <c:ser>
          <c:idx val="3"/>
          <c:order val="3"/>
          <c:tx>
            <c:strRef>
              <c:f>'WAGR Transport'!$A$111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Transport'!$B$107:$E$107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Transport'!$B$111:$E$111</c:f>
              <c:numCache>
                <c:formatCode>0.00E+00</c:formatCode>
                <c:ptCount val="4"/>
                <c:pt idx="0">
                  <c:v>1503</c:v>
                </c:pt>
                <c:pt idx="1">
                  <c:v>2440</c:v>
                </c:pt>
                <c:pt idx="2">
                  <c:v>5125</c:v>
                </c:pt>
                <c:pt idx="3">
                  <c:v>12303</c:v>
                </c:pt>
              </c:numCache>
            </c:numRef>
          </c:val>
        </c:ser>
        <c:ser>
          <c:idx val="4"/>
          <c:order val="4"/>
          <c:tx>
            <c:strRef>
              <c:f>'WAGR Transport'!$A$112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Transport'!$B$107:$E$107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Transport'!$B$112:$E$112</c:f>
              <c:numCache>
                <c:formatCode>0.00E+00</c:formatCode>
                <c:ptCount val="4"/>
                <c:pt idx="0">
                  <c:v>4070</c:v>
                </c:pt>
                <c:pt idx="1">
                  <c:v>4070</c:v>
                </c:pt>
                <c:pt idx="2">
                  <c:v>4070</c:v>
                </c:pt>
                <c:pt idx="3">
                  <c:v>4070</c:v>
                </c:pt>
              </c:numCache>
            </c:numRef>
          </c:val>
        </c:ser>
        <c:ser>
          <c:idx val="5"/>
          <c:order val="5"/>
          <c:tx>
            <c:strRef>
              <c:f>'WAGR Transport'!$A$113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Transport'!$B$107:$E$107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Transport'!$B$113:$E$113</c:f>
              <c:numCache>
                <c:formatCode>0.00E+00</c:formatCode>
                <c:ptCount val="4"/>
                <c:pt idx="0">
                  <c:v>3234</c:v>
                </c:pt>
                <c:pt idx="1">
                  <c:v>3234</c:v>
                </c:pt>
                <c:pt idx="2">
                  <c:v>3234</c:v>
                </c:pt>
                <c:pt idx="3">
                  <c:v>3234</c:v>
                </c:pt>
              </c:numCache>
            </c:numRef>
          </c:val>
        </c:ser>
        <c:ser>
          <c:idx val="6"/>
          <c:order val="6"/>
          <c:tx>
            <c:strRef>
              <c:f>'WAGR Transport'!$A$114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Transport'!$B$107:$E$107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Transport'!$B$114:$E$114</c:f>
              <c:numCache>
                <c:formatCode>0.00E+00</c:formatCode>
                <c:ptCount val="4"/>
                <c:pt idx="0">
                  <c:v>4550</c:v>
                </c:pt>
                <c:pt idx="1">
                  <c:v>4550</c:v>
                </c:pt>
                <c:pt idx="2">
                  <c:v>4550</c:v>
                </c:pt>
                <c:pt idx="3">
                  <c:v>4550</c:v>
                </c:pt>
              </c:numCache>
            </c:numRef>
          </c:val>
        </c:ser>
        <c:ser>
          <c:idx val="7"/>
          <c:order val="7"/>
          <c:tx>
            <c:strRef>
              <c:f>'WAGR Transport'!$A$115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Transport'!$B$107:$E$107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Transport'!$B$115:$E$115</c:f>
              <c:numCache>
                <c:formatCode>0.00E+00</c:formatCode>
                <c:ptCount val="4"/>
                <c:pt idx="0">
                  <c:v>4169</c:v>
                </c:pt>
                <c:pt idx="1">
                  <c:v>4169</c:v>
                </c:pt>
                <c:pt idx="2">
                  <c:v>4169</c:v>
                </c:pt>
                <c:pt idx="3">
                  <c:v>4169</c:v>
                </c:pt>
              </c:numCache>
            </c:numRef>
          </c:val>
        </c:ser>
        <c:ser>
          <c:idx val="8"/>
          <c:order val="8"/>
          <c:tx>
            <c:strRef>
              <c:f>'WAGR Transport'!$A$116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Transport'!$B$107:$E$107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Transport'!$B$116:$E$116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9"/>
          <c:order val="9"/>
          <c:tx>
            <c:strRef>
              <c:f>'WAGR Transport'!$A$117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Transport'!$B$107:$E$107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Transport'!$B$117:$E$117</c:f>
              <c:numCache>
                <c:formatCode>0.00E+00</c:formatCode>
                <c:ptCount val="4"/>
                <c:pt idx="0">
                  <c:v>5252</c:v>
                </c:pt>
                <c:pt idx="1">
                  <c:v>5252</c:v>
                </c:pt>
                <c:pt idx="2">
                  <c:v>5252</c:v>
                </c:pt>
                <c:pt idx="3">
                  <c:v>5252</c:v>
                </c:pt>
              </c:numCache>
            </c:numRef>
          </c:val>
        </c:ser>
        <c:ser>
          <c:idx val="10"/>
          <c:order val="10"/>
          <c:tx>
            <c:strRef>
              <c:f>'WAGR Transport'!$A$118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Transport'!$B$107:$E$107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Transport'!$B$118:$E$118</c:f>
              <c:numCache>
                <c:formatCode>0.00E+00</c:formatCode>
                <c:ptCount val="4"/>
                <c:pt idx="0">
                  <c:v>320.7</c:v>
                </c:pt>
                <c:pt idx="1">
                  <c:v>320.7</c:v>
                </c:pt>
                <c:pt idx="2">
                  <c:v>320.7</c:v>
                </c:pt>
                <c:pt idx="3">
                  <c:v>320.7</c:v>
                </c:pt>
              </c:numCache>
            </c:numRef>
          </c:val>
        </c:ser>
        <c:ser>
          <c:idx val="11"/>
          <c:order val="11"/>
          <c:tx>
            <c:strRef>
              <c:f>'WAGR Transport'!$A$119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Transport'!$B$107:$E$107</c:f>
              <c:strCache>
                <c:ptCount val="4"/>
                <c:pt idx="0">
                  <c:v>Reference Case</c:v>
                </c:pt>
                <c:pt idx="1">
                  <c:v>x2 Specialised Transport</c:v>
                </c:pt>
                <c:pt idx="2">
                  <c:v>x4 Specialised Transport</c:v>
                </c:pt>
                <c:pt idx="3">
                  <c:v>x10 Specialised Transport</c:v>
                </c:pt>
              </c:strCache>
            </c:strRef>
          </c:cat>
          <c:val>
            <c:numRef>
              <c:f>'WAGR Transport'!$B$119:$E$119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overlap val="100"/>
        <c:axId val="66980864"/>
        <c:axId val="66995328"/>
      </c:barChart>
      <c:catAx>
        <c:axId val="669808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Transport Variation</a:t>
                </a:r>
              </a:p>
            </c:rich>
          </c:tx>
          <c:layout>
            <c:manualLayout>
              <c:xMode val="edge"/>
              <c:yMode val="edge"/>
              <c:x val="0.48091573780550156"/>
              <c:y val="0.90037081571700084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95328"/>
        <c:crosses val="autoZero"/>
        <c:auto val="1"/>
        <c:lblAlgn val="ctr"/>
        <c:lblOffset val="100"/>
        <c:tickLblSkip val="1"/>
        <c:tickMarkSkip val="1"/>
      </c:catAx>
      <c:valAx>
        <c:axId val="669953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Score (Pt)</a:t>
                </a:r>
              </a:p>
            </c:rich>
          </c:tx>
          <c:layout>
            <c:manualLayout>
              <c:xMode val="edge"/>
              <c:yMode val="edge"/>
              <c:x val="2.4809114769744692E-2"/>
              <c:y val="0.33579406022523045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8086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2264154480689913"/>
          <c:y val="1.8518547250559195E-2"/>
          <c:w val="0.86037733919623682"/>
          <c:h val="0.170370427834451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633902304327821E-2"/>
          <c:y val="0.15725829673269506"/>
          <c:w val="0.88439223153729396"/>
          <c:h val="0.31048432944660209"/>
        </c:manualLayout>
      </c:layout>
      <c:barChart>
        <c:barDir val="col"/>
        <c:grouping val="clustered"/>
        <c:ser>
          <c:idx val="0"/>
          <c:order val="0"/>
          <c:tx>
            <c:strRef>
              <c:f>'WAGR Transport'!$B$123</c:f>
              <c:strCache>
                <c:ptCount val="1"/>
                <c:pt idx="0">
                  <c:v>Reference Case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Transport'!$A$124:$A$134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Transport'!$B$124:$B$134</c:f>
              <c:numCache>
                <c:formatCode>0.00</c:formatCode>
                <c:ptCount val="11"/>
                <c:pt idx="0">
                  <c:v>2.4900000000000002</c:v>
                </c:pt>
                <c:pt idx="1">
                  <c:v>2.0299999999999999E-2</c:v>
                </c:pt>
                <c:pt idx="2">
                  <c:v>34</c:v>
                </c:pt>
                <c:pt idx="3">
                  <c:v>5.75</c:v>
                </c:pt>
                <c:pt idx="4">
                  <c:v>0.29899999999999999</c:v>
                </c:pt>
                <c:pt idx="5">
                  <c:v>2.1700000000000001E-3</c:v>
                </c:pt>
                <c:pt idx="6">
                  <c:v>1.95</c:v>
                </c:pt>
                <c:pt idx="7">
                  <c:v>1.05</c:v>
                </c:pt>
                <c:pt idx="8">
                  <c:v>0.88700000000000001</c:v>
                </c:pt>
                <c:pt idx="9">
                  <c:v>4.26</c:v>
                </c:pt>
                <c:pt idx="10">
                  <c:v>27.7</c:v>
                </c:pt>
              </c:numCache>
            </c:numRef>
          </c:val>
        </c:ser>
        <c:ser>
          <c:idx val="1"/>
          <c:order val="1"/>
          <c:tx>
            <c:strRef>
              <c:f>'WAGR Transport'!$C$123</c:f>
              <c:strCache>
                <c:ptCount val="1"/>
                <c:pt idx="0">
                  <c:v>x2 Specialised Transport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Transport'!$A$124:$A$134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Transport'!$C$124:$C$134</c:f>
              <c:numCache>
                <c:formatCode>0.00</c:formatCode>
                <c:ptCount val="11"/>
                <c:pt idx="0">
                  <c:v>2.5099999999999998</c:v>
                </c:pt>
                <c:pt idx="1">
                  <c:v>2.23E-2</c:v>
                </c:pt>
                <c:pt idx="2">
                  <c:v>35.200000000000003</c:v>
                </c:pt>
                <c:pt idx="3">
                  <c:v>6</c:v>
                </c:pt>
                <c:pt idx="4">
                  <c:v>0.3</c:v>
                </c:pt>
                <c:pt idx="5">
                  <c:v>2.3800000000000002E-3</c:v>
                </c:pt>
                <c:pt idx="6">
                  <c:v>1.99</c:v>
                </c:pt>
                <c:pt idx="7">
                  <c:v>1.1299999999999999</c:v>
                </c:pt>
                <c:pt idx="8">
                  <c:v>0.91400000000000003</c:v>
                </c:pt>
                <c:pt idx="9">
                  <c:v>4.29</c:v>
                </c:pt>
                <c:pt idx="10">
                  <c:v>30.6</c:v>
                </c:pt>
              </c:numCache>
            </c:numRef>
          </c:val>
        </c:ser>
        <c:ser>
          <c:idx val="2"/>
          <c:order val="2"/>
          <c:tx>
            <c:strRef>
              <c:f>'WAGR Transport'!$D$123</c:f>
              <c:strCache>
                <c:ptCount val="1"/>
                <c:pt idx="0">
                  <c:v>x4 Specialised Transport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Transport'!$A$124:$A$134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Transport'!$D$124:$D$134</c:f>
              <c:numCache>
                <c:formatCode>0.00</c:formatCode>
                <c:ptCount val="11"/>
                <c:pt idx="0">
                  <c:v>2.57</c:v>
                </c:pt>
                <c:pt idx="1">
                  <c:v>2.6200000000000001E-2</c:v>
                </c:pt>
                <c:pt idx="2">
                  <c:v>37.4</c:v>
                </c:pt>
                <c:pt idx="3">
                  <c:v>6.51</c:v>
                </c:pt>
                <c:pt idx="4">
                  <c:v>0.30099999999999999</c:v>
                </c:pt>
                <c:pt idx="5">
                  <c:v>2.7899999999999999E-3</c:v>
                </c:pt>
                <c:pt idx="6">
                  <c:v>2.09</c:v>
                </c:pt>
                <c:pt idx="7">
                  <c:v>1.29</c:v>
                </c:pt>
                <c:pt idx="8">
                  <c:v>0.96599999999999997</c:v>
                </c:pt>
                <c:pt idx="9">
                  <c:v>4.34</c:v>
                </c:pt>
                <c:pt idx="10">
                  <c:v>36.299999999999997</c:v>
                </c:pt>
              </c:numCache>
            </c:numRef>
          </c:val>
        </c:ser>
        <c:ser>
          <c:idx val="3"/>
          <c:order val="3"/>
          <c:tx>
            <c:strRef>
              <c:f>'WAGR Transport'!$E$123</c:f>
              <c:strCache>
                <c:ptCount val="1"/>
                <c:pt idx="0">
                  <c:v>x10 Specialised Transport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Transport'!$A$124:$A$134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Transport'!$E$124:$E$134</c:f>
              <c:numCache>
                <c:formatCode>0.00</c:formatCode>
                <c:ptCount val="11"/>
                <c:pt idx="0">
                  <c:v>2.74</c:v>
                </c:pt>
                <c:pt idx="1">
                  <c:v>3.7900000000000003E-2</c:v>
                </c:pt>
                <c:pt idx="2">
                  <c:v>44.2</c:v>
                </c:pt>
                <c:pt idx="3">
                  <c:v>8.02</c:v>
                </c:pt>
                <c:pt idx="4">
                  <c:v>0.30599999999999999</c:v>
                </c:pt>
                <c:pt idx="5">
                  <c:v>4.0200000000000001E-3</c:v>
                </c:pt>
                <c:pt idx="6">
                  <c:v>2.37</c:v>
                </c:pt>
                <c:pt idx="7">
                  <c:v>1.75</c:v>
                </c:pt>
                <c:pt idx="8">
                  <c:v>1.1200000000000001</c:v>
                </c:pt>
                <c:pt idx="9">
                  <c:v>4.4800000000000004</c:v>
                </c:pt>
                <c:pt idx="10">
                  <c:v>53.4</c:v>
                </c:pt>
              </c:numCache>
            </c:numRef>
          </c:val>
        </c:ser>
        <c:axId val="67021824"/>
        <c:axId val="67032192"/>
      </c:barChart>
      <c:catAx>
        <c:axId val="670218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7184433341181192"/>
              <c:y val="0.8911302450830008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032192"/>
        <c:crosses val="autoZero"/>
        <c:auto val="1"/>
        <c:lblAlgn val="ctr"/>
        <c:lblOffset val="100"/>
        <c:tickLblSkip val="1"/>
        <c:tickMarkSkip val="1"/>
      </c:catAx>
      <c:valAx>
        <c:axId val="670321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5242891150234127E-2"/>
              <c:y val="0.15322630125779732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02182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790370370972182"/>
          <c:y val="3.8860103626943004E-2"/>
          <c:w val="0.5973382556889687"/>
          <c:h val="6.217616580310880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730763723161601"/>
          <c:y val="0.15767618881675002"/>
          <c:w val="0.8634611330654991"/>
          <c:h val="0.34024861797298606"/>
        </c:manualLayout>
      </c:layout>
      <c:barChart>
        <c:barDir val="col"/>
        <c:grouping val="clustered"/>
        <c:ser>
          <c:idx val="0"/>
          <c:order val="0"/>
          <c:tx>
            <c:strRef>
              <c:f>'WAGR Transport'!$B$136</c:f>
              <c:strCache>
                <c:ptCount val="1"/>
                <c:pt idx="0">
                  <c:v>Reference Case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Transport'!$A$137:$A$147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Transport'!$B$137:$B$147</c:f>
              <c:numCache>
                <c:formatCode>General</c:formatCode>
                <c:ptCount val="11"/>
                <c:pt idx="0" formatCode="0.00E+00">
                  <c:v>994</c:v>
                </c:pt>
                <c:pt idx="1">
                  <c:v>8.1300000000000008</c:v>
                </c:pt>
                <c:pt idx="2" formatCode="0.00E+00">
                  <c:v>13600</c:v>
                </c:pt>
                <c:pt idx="3" formatCode="0.00E+00">
                  <c:v>2300</c:v>
                </c:pt>
                <c:pt idx="4" formatCode="0.00E+00">
                  <c:v>120</c:v>
                </c:pt>
                <c:pt idx="5">
                  <c:v>0.86799999999999999</c:v>
                </c:pt>
                <c:pt idx="6" formatCode="0.00E+00">
                  <c:v>779</c:v>
                </c:pt>
                <c:pt idx="7" formatCode="0.00E+00">
                  <c:v>421</c:v>
                </c:pt>
                <c:pt idx="8" formatCode="0.00E+00">
                  <c:v>355</c:v>
                </c:pt>
                <c:pt idx="9" formatCode="0.00E+00">
                  <c:v>853</c:v>
                </c:pt>
                <c:pt idx="10" formatCode="0.00E+00">
                  <c:v>5540</c:v>
                </c:pt>
              </c:numCache>
            </c:numRef>
          </c:val>
        </c:ser>
        <c:ser>
          <c:idx val="1"/>
          <c:order val="1"/>
          <c:tx>
            <c:strRef>
              <c:f>'WAGR Transport'!$C$136</c:f>
              <c:strCache>
                <c:ptCount val="1"/>
                <c:pt idx="0">
                  <c:v>x2 Specialised Transport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Transport'!$A$137:$A$147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Transport'!$C$137:$C$147</c:f>
              <c:numCache>
                <c:formatCode>General</c:formatCode>
                <c:ptCount val="11"/>
                <c:pt idx="0" formatCode="0.00E+00">
                  <c:v>1010</c:v>
                </c:pt>
                <c:pt idx="1">
                  <c:v>8.91</c:v>
                </c:pt>
                <c:pt idx="2" formatCode="0.00E+00">
                  <c:v>14100</c:v>
                </c:pt>
                <c:pt idx="3" formatCode="0.00E+00">
                  <c:v>2400</c:v>
                </c:pt>
                <c:pt idx="4" formatCode="0.00E+00">
                  <c:v>120</c:v>
                </c:pt>
                <c:pt idx="5">
                  <c:v>0.95</c:v>
                </c:pt>
                <c:pt idx="6" formatCode="0.00E+00">
                  <c:v>798</c:v>
                </c:pt>
                <c:pt idx="7" formatCode="0.00E+00">
                  <c:v>452</c:v>
                </c:pt>
                <c:pt idx="8" formatCode="0.00E+00">
                  <c:v>365</c:v>
                </c:pt>
                <c:pt idx="9" formatCode="0.00E+00">
                  <c:v>857</c:v>
                </c:pt>
                <c:pt idx="10" formatCode="0.00E+00">
                  <c:v>6110</c:v>
                </c:pt>
              </c:numCache>
            </c:numRef>
          </c:val>
        </c:ser>
        <c:ser>
          <c:idx val="2"/>
          <c:order val="2"/>
          <c:tx>
            <c:strRef>
              <c:f>'WAGR Transport'!$D$136</c:f>
              <c:strCache>
                <c:ptCount val="1"/>
                <c:pt idx="0">
                  <c:v>x4 Specialised Transport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Transport'!$A$137:$A$147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Transport'!$D$137:$D$147</c:f>
              <c:numCache>
                <c:formatCode>General</c:formatCode>
                <c:ptCount val="11"/>
                <c:pt idx="0" formatCode="0.00E+00">
                  <c:v>1030</c:v>
                </c:pt>
                <c:pt idx="1">
                  <c:v>10.5</c:v>
                </c:pt>
                <c:pt idx="2" formatCode="0.00E+00">
                  <c:v>15000</c:v>
                </c:pt>
                <c:pt idx="3" formatCode="0.00E+00">
                  <c:v>2600</c:v>
                </c:pt>
                <c:pt idx="4" formatCode="0.00E+00">
                  <c:v>121</c:v>
                </c:pt>
                <c:pt idx="5">
                  <c:v>1.1100000000000001</c:v>
                </c:pt>
                <c:pt idx="6" formatCode="0.00E+00">
                  <c:v>835</c:v>
                </c:pt>
                <c:pt idx="7" formatCode="0.00E+00">
                  <c:v>515</c:v>
                </c:pt>
                <c:pt idx="8" formatCode="0.00E+00">
                  <c:v>386</c:v>
                </c:pt>
                <c:pt idx="9" formatCode="0.00E+00">
                  <c:v>867</c:v>
                </c:pt>
                <c:pt idx="10" formatCode="0.00E+00">
                  <c:v>7260</c:v>
                </c:pt>
              </c:numCache>
            </c:numRef>
          </c:val>
        </c:ser>
        <c:ser>
          <c:idx val="3"/>
          <c:order val="3"/>
          <c:tx>
            <c:strRef>
              <c:f>'WAGR Transport'!$E$136</c:f>
              <c:strCache>
                <c:ptCount val="1"/>
                <c:pt idx="0">
                  <c:v>x10 Specialised Transport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Transport'!$A$137:$A$147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Transport'!$E$137:$E$147</c:f>
              <c:numCache>
                <c:formatCode>General</c:formatCode>
                <c:ptCount val="11"/>
                <c:pt idx="0" formatCode="0.00E+00">
                  <c:v>1100</c:v>
                </c:pt>
                <c:pt idx="1">
                  <c:v>15.2</c:v>
                </c:pt>
                <c:pt idx="2" formatCode="0.00E+00">
                  <c:v>17700</c:v>
                </c:pt>
                <c:pt idx="3" formatCode="0.00E+00">
                  <c:v>3210</c:v>
                </c:pt>
                <c:pt idx="4" formatCode="0.00E+00">
                  <c:v>122</c:v>
                </c:pt>
                <c:pt idx="5">
                  <c:v>1.61</c:v>
                </c:pt>
                <c:pt idx="6" formatCode="0.00E+00">
                  <c:v>947</c:v>
                </c:pt>
                <c:pt idx="7" formatCode="0.00E+00">
                  <c:v>701</c:v>
                </c:pt>
                <c:pt idx="8" formatCode="0.00E+00">
                  <c:v>449</c:v>
                </c:pt>
                <c:pt idx="9" formatCode="0.00E+00">
                  <c:v>896</c:v>
                </c:pt>
                <c:pt idx="10" formatCode="0.00E+00">
                  <c:v>10700</c:v>
                </c:pt>
              </c:numCache>
            </c:numRef>
          </c:val>
        </c:ser>
        <c:axId val="67132800"/>
        <c:axId val="67159552"/>
      </c:barChart>
      <c:catAx>
        <c:axId val="671328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126180123007013"/>
              <c:y val="0.89024380285797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159552"/>
        <c:crosses val="autoZero"/>
        <c:auto val="1"/>
        <c:lblAlgn val="ctr"/>
        <c:lblOffset val="100"/>
        <c:tickLblSkip val="1"/>
        <c:tickMarkSkip val="1"/>
      </c:catAx>
      <c:valAx>
        <c:axId val="671595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Score (Pt)</a:t>
                </a:r>
              </a:p>
            </c:rich>
          </c:tx>
          <c:layout>
            <c:manualLayout>
              <c:xMode val="edge"/>
              <c:yMode val="edge"/>
              <c:x val="2.5242640689814272E-2"/>
              <c:y val="0.11788626421697287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13280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744186046511625"/>
          <c:y val="3.6011129040329923E-2"/>
          <c:w val="0.59634551495016608"/>
          <c:h val="6.094191068363525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24468066041545899"/>
          <c:y val="0.20901681171717204"/>
          <c:w val="0.56382934791388517"/>
          <c:h val="0.35655809057635302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Results'!$B$2</c:f>
              <c:strCache>
                <c:ptCount val="1"/>
                <c:pt idx="0">
                  <c:v>Empty Package Impacts Worst Case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Results'!$A$3:$A$13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Results'!$B$3:$B$13</c:f>
              <c:numCache>
                <c:formatCode>0.00E+00</c:formatCode>
                <c:ptCount val="11"/>
                <c:pt idx="0">
                  <c:v>2470000</c:v>
                </c:pt>
                <c:pt idx="1">
                  <c:v>17700</c:v>
                </c:pt>
                <c:pt idx="2">
                  <c:v>42200000</c:v>
                </c:pt>
                <c:pt idx="3">
                  <c:v>6160000</c:v>
                </c:pt>
                <c:pt idx="4">
                  <c:v>51100</c:v>
                </c:pt>
                <c:pt idx="5">
                  <c:v>1600</c:v>
                </c:pt>
                <c:pt idx="6">
                  <c:v>13600000</c:v>
                </c:pt>
                <c:pt idx="7">
                  <c:v>666000</c:v>
                </c:pt>
                <c:pt idx="8">
                  <c:v>740000</c:v>
                </c:pt>
                <c:pt idx="9">
                  <c:v>17600000</c:v>
                </c:pt>
                <c:pt idx="10">
                  <c:v>13900000</c:v>
                </c:pt>
              </c:numCache>
            </c:numRef>
          </c:val>
        </c:ser>
        <c:ser>
          <c:idx val="1"/>
          <c:order val="1"/>
          <c:tx>
            <c:strRef>
              <c:f>'Invnetory Study Results'!$C$2</c:f>
              <c:strCache>
                <c:ptCount val="1"/>
                <c:pt idx="0">
                  <c:v>Waste Scenario Impacts Worst Case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Results'!$A$3:$A$13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Results'!$C$3:$C$13</c:f>
              <c:numCache>
                <c:formatCode>0.00E+00</c:formatCode>
                <c:ptCount val="11"/>
                <c:pt idx="0">
                  <c:v>25200000</c:v>
                </c:pt>
                <c:pt idx="1">
                  <c:v>157000</c:v>
                </c:pt>
                <c:pt idx="2">
                  <c:v>166000000</c:v>
                </c:pt>
                <c:pt idx="3">
                  <c:v>42800000</c:v>
                </c:pt>
                <c:pt idx="4">
                  <c:v>888000</c:v>
                </c:pt>
                <c:pt idx="5">
                  <c:v>29700</c:v>
                </c:pt>
                <c:pt idx="6">
                  <c:v>16200000</c:v>
                </c:pt>
                <c:pt idx="7">
                  <c:v>5820000</c:v>
                </c:pt>
                <c:pt idx="8">
                  <c:v>5340000</c:v>
                </c:pt>
                <c:pt idx="9">
                  <c:v>24000000</c:v>
                </c:pt>
                <c:pt idx="10">
                  <c:v>120000000</c:v>
                </c:pt>
              </c:numCache>
            </c:numRef>
          </c:val>
        </c:ser>
        <c:ser>
          <c:idx val="2"/>
          <c:order val="2"/>
          <c:tx>
            <c:strRef>
              <c:f>'Invnetory Study Results'!$D$2</c:f>
              <c:strCache>
                <c:ptCount val="1"/>
                <c:pt idx="0">
                  <c:v>Empty Package Impacts Best Case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Results'!$A$3:$A$13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Results'!$D$3:$D$13</c:f>
              <c:numCache>
                <c:formatCode>0.00E+00</c:formatCode>
                <c:ptCount val="11"/>
                <c:pt idx="0">
                  <c:v>2500000</c:v>
                </c:pt>
                <c:pt idx="1">
                  <c:v>16100</c:v>
                </c:pt>
                <c:pt idx="2">
                  <c:v>38500000</c:v>
                </c:pt>
                <c:pt idx="3">
                  <c:v>5620000</c:v>
                </c:pt>
                <c:pt idx="4">
                  <c:v>46600</c:v>
                </c:pt>
                <c:pt idx="5">
                  <c:v>1460</c:v>
                </c:pt>
                <c:pt idx="6">
                  <c:v>12300000</c:v>
                </c:pt>
                <c:pt idx="7">
                  <c:v>607000</c:v>
                </c:pt>
                <c:pt idx="8">
                  <c:v>674000</c:v>
                </c:pt>
                <c:pt idx="9">
                  <c:v>16000000</c:v>
                </c:pt>
                <c:pt idx="10">
                  <c:v>12700000</c:v>
                </c:pt>
              </c:numCache>
            </c:numRef>
          </c:val>
        </c:ser>
        <c:ser>
          <c:idx val="3"/>
          <c:order val="3"/>
          <c:tx>
            <c:strRef>
              <c:f>'Invnetory Study Results'!$E$2</c:f>
              <c:strCache>
                <c:ptCount val="1"/>
                <c:pt idx="0">
                  <c:v>Waste Scenario Impacts Best Case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Results'!$A$3:$A$13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Results'!$E$3:$E$13</c:f>
              <c:numCache>
                <c:formatCode>0.00E+00</c:formatCode>
                <c:ptCount val="11"/>
                <c:pt idx="0">
                  <c:v>22300000</c:v>
                </c:pt>
                <c:pt idx="1">
                  <c:v>139000</c:v>
                </c:pt>
                <c:pt idx="2">
                  <c:v>148000000</c:v>
                </c:pt>
                <c:pt idx="3">
                  <c:v>37900000</c:v>
                </c:pt>
                <c:pt idx="4">
                  <c:v>790000</c:v>
                </c:pt>
                <c:pt idx="5">
                  <c:v>26800</c:v>
                </c:pt>
                <c:pt idx="6">
                  <c:v>14300000</c:v>
                </c:pt>
                <c:pt idx="7">
                  <c:v>5180000</c:v>
                </c:pt>
                <c:pt idx="8">
                  <c:v>5570000</c:v>
                </c:pt>
                <c:pt idx="9">
                  <c:v>21300000</c:v>
                </c:pt>
                <c:pt idx="10">
                  <c:v>108000000</c:v>
                </c:pt>
              </c:numCache>
            </c:numRef>
          </c:val>
        </c:ser>
        <c:axId val="46571904"/>
        <c:axId val="46573824"/>
      </c:barChart>
      <c:catAx>
        <c:axId val="465719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33620722643314449"/>
              <c:y val="0.877360068363547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73824"/>
        <c:crosses val="autoZero"/>
        <c:auto val="1"/>
        <c:lblAlgn val="ctr"/>
        <c:lblOffset val="100"/>
        <c:tickLblSkip val="1"/>
        <c:tickMarkSkip val="1"/>
      </c:catAx>
      <c:valAx>
        <c:axId val="46573824"/>
        <c:scaling>
          <c:logBase val="10"/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Score (Pt)</a:t>
                </a:r>
              </a:p>
            </c:rich>
          </c:tx>
          <c:layout>
            <c:manualLayout>
              <c:xMode val="edge"/>
              <c:yMode val="edge"/>
              <c:x val="2.8017563225157603E-2"/>
              <c:y val="2.3584813526216199E-2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7190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616984325557434"/>
          <c:y val="4.0983641579686259E-2"/>
          <c:w val="0.86170147423160892"/>
          <c:h val="0.1393444424098150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7761538019426407"/>
          <c:y val="0.20886125784909804"/>
          <c:w val="0.58637392953617995"/>
          <c:h val="0.23417771354530001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Results'!$B$17</c:f>
              <c:strCache>
                <c:ptCount val="1"/>
                <c:pt idx="0">
                  <c:v>Worst Case Disposal (Pt)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Results'!$A$18:$A$25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</c:v>
                </c:pt>
                <c:pt idx="3">
                  <c:v>Drums, 210l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Decay</c:v>
                </c:pt>
              </c:strCache>
            </c:strRef>
          </c:cat>
          <c:val>
            <c:numRef>
              <c:f>'Invnetory Study Results'!$B$18:$B$25</c:f>
              <c:numCache>
                <c:formatCode>General</c:formatCode>
                <c:ptCount val="8"/>
                <c:pt idx="0" formatCode="0.00E+00">
                  <c:v>61300000</c:v>
                </c:pt>
                <c:pt idx="1">
                  <c:v>0</c:v>
                </c:pt>
                <c:pt idx="2" formatCode="0.00E+00">
                  <c:v>36400000</c:v>
                </c:pt>
                <c:pt idx="3">
                  <c:v>0</c:v>
                </c:pt>
                <c:pt idx="4" formatCode="0.00E+00">
                  <c:v>20600000</c:v>
                </c:pt>
                <c:pt idx="5" formatCode="0.00E+00">
                  <c:v>93300000</c:v>
                </c:pt>
                <c:pt idx="6" formatCode="0.00E+00">
                  <c:v>293000000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'Invnetory Study Results'!$C$17</c:f>
              <c:strCache>
                <c:ptCount val="1"/>
                <c:pt idx="0">
                  <c:v>Best Case Disposal (Pt)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Results'!$A$18:$A$25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</c:v>
                </c:pt>
                <c:pt idx="3">
                  <c:v>Drums, 210l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Decay</c:v>
                </c:pt>
              </c:strCache>
            </c:strRef>
          </c:cat>
          <c:val>
            <c:numRef>
              <c:f>'Invnetory Study Results'!$C$18:$C$25</c:f>
              <c:numCache>
                <c:formatCode>0.00E+00</c:formatCode>
                <c:ptCount val="8"/>
                <c:pt idx="0">
                  <c:v>55700000</c:v>
                </c:pt>
                <c:pt idx="1">
                  <c:v>1000000</c:v>
                </c:pt>
                <c:pt idx="2">
                  <c:v>29600000</c:v>
                </c:pt>
                <c:pt idx="3">
                  <c:v>2640000</c:v>
                </c:pt>
                <c:pt idx="4">
                  <c:v>1380000</c:v>
                </c:pt>
                <c:pt idx="5">
                  <c:v>93300000</c:v>
                </c:pt>
                <c:pt idx="6">
                  <c:v>267000000</c:v>
                </c:pt>
                <c:pt idx="7">
                  <c:v>2400000</c:v>
                </c:pt>
              </c:numCache>
            </c:numRef>
          </c:val>
        </c:ser>
        <c:axId val="52079232"/>
        <c:axId val="52192000"/>
      </c:barChart>
      <c:catAx>
        <c:axId val="52079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</a:t>
                </a:r>
              </a:p>
            </c:rich>
          </c:tx>
          <c:layout>
            <c:manualLayout>
              <c:xMode val="edge"/>
              <c:yMode val="edge"/>
              <c:x val="0.43103506292482668"/>
              <c:y val="0.8433739307766384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192000"/>
        <c:crosses val="autoZero"/>
        <c:auto val="1"/>
        <c:lblAlgn val="ctr"/>
        <c:lblOffset val="100"/>
        <c:tickLblSkip val="1"/>
        <c:tickMarkSkip val="1"/>
      </c:catAx>
      <c:valAx>
        <c:axId val="521920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Score (Pt)</a:t>
                </a:r>
              </a:p>
            </c:rich>
          </c:tx>
          <c:layout>
            <c:manualLayout>
              <c:xMode val="edge"/>
              <c:yMode val="edge"/>
              <c:x val="2.8017363214213605E-2"/>
              <c:y val="2.4096376442153362E-2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07923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251680615838859"/>
          <c:y val="0.32491032002749892"/>
          <c:w val="0.17910466407984915"/>
          <c:h val="0.2888091733577768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5180741865098202"/>
          <c:y val="0.18840579710144906"/>
          <c:w val="0.65301280713404808"/>
          <c:h val="0.45652116854958302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Results'!$C$29</c:f>
              <c:strCache>
                <c:ptCount val="1"/>
                <c:pt idx="0">
                  <c:v>Practicable Case Disposal (Pt)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Results'!$A$30:$A$35</c:f>
              <c:strCache>
                <c:ptCount val="6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Lead</c:v>
                </c:pt>
                <c:pt idx="5">
                  <c:v>Zinc</c:v>
                </c:pt>
              </c:strCache>
            </c:strRef>
          </c:cat>
          <c:val>
            <c:numRef>
              <c:f>'Invnetory Study Results'!$C$30:$C$35</c:f>
              <c:numCache>
                <c:formatCode>0.00E+00</c:formatCode>
                <c:ptCount val="6"/>
                <c:pt idx="0">
                  <c:v>10500000</c:v>
                </c:pt>
                <c:pt idx="1">
                  <c:v>5190000</c:v>
                </c:pt>
                <c:pt idx="2">
                  <c:v>2070000</c:v>
                </c:pt>
                <c:pt idx="3">
                  <c:v>265000</c:v>
                </c:pt>
                <c:pt idx="4">
                  <c:v>523000</c:v>
                </c:pt>
                <c:pt idx="5">
                  <c:v>2070000</c:v>
                </c:pt>
              </c:numCache>
            </c:numRef>
          </c:val>
        </c:ser>
        <c:ser>
          <c:idx val="1"/>
          <c:order val="1"/>
          <c:tx>
            <c:strRef>
              <c:f>'Invnetory Study Results'!$D$29</c:f>
              <c:strCache>
                <c:ptCount val="1"/>
                <c:pt idx="0">
                  <c:v>Best Case Disposal (Pt)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Results'!$A$30:$A$35</c:f>
              <c:strCache>
                <c:ptCount val="6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Lead</c:v>
                </c:pt>
                <c:pt idx="5">
                  <c:v>Zinc</c:v>
                </c:pt>
              </c:strCache>
            </c:strRef>
          </c:cat>
          <c:val>
            <c:numRef>
              <c:f>'Invnetory Study Results'!$D$30:$D$35</c:f>
              <c:numCache>
                <c:formatCode>0.00E+00</c:formatCode>
                <c:ptCount val="6"/>
                <c:pt idx="0">
                  <c:v>702000</c:v>
                </c:pt>
                <c:pt idx="1">
                  <c:v>348000</c:v>
                </c:pt>
                <c:pt idx="2">
                  <c:v>139000</c:v>
                </c:pt>
                <c:pt idx="3">
                  <c:v>17800</c:v>
                </c:pt>
                <c:pt idx="4">
                  <c:v>35100</c:v>
                </c:pt>
                <c:pt idx="5">
                  <c:v>139000</c:v>
                </c:pt>
              </c:numCache>
            </c:numRef>
          </c:val>
        </c:ser>
        <c:axId val="46601344"/>
        <c:axId val="46603264"/>
      </c:barChart>
      <c:catAx>
        <c:axId val="46601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VLLW Metal</a:t>
                </a:r>
              </a:p>
            </c:rich>
          </c:tx>
          <c:layout>
            <c:manualLayout>
              <c:xMode val="edge"/>
              <c:yMode val="edge"/>
              <c:x val="0.43567272445374711"/>
              <c:y val="0.823941985700063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603264"/>
        <c:crosses val="autoZero"/>
        <c:auto val="1"/>
        <c:lblAlgn val="ctr"/>
        <c:lblOffset val="100"/>
        <c:tickLblSkip val="1"/>
        <c:tickMarkSkip val="1"/>
      </c:catAx>
      <c:valAx>
        <c:axId val="46603264"/>
        <c:scaling>
          <c:logBase val="10"/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Score (Pt)</a:t>
                </a:r>
              </a:p>
            </c:rich>
          </c:tx>
          <c:layout>
            <c:manualLayout>
              <c:xMode val="edge"/>
              <c:yMode val="edge"/>
              <c:x val="3.8011894082859897E-2"/>
              <c:y val="0.18309847044981448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60134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708860759493667"/>
          <c:y val="0.11206896551724138"/>
          <c:w val="0.1160337552742616"/>
          <c:h val="0.4181034482758620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3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8995633187772909"/>
          <c:y val="0.11877394636015302"/>
          <c:w val="0.58078602620087305"/>
          <c:h val="0.54789332367936805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Results'!$C$39</c:f>
              <c:strCache>
                <c:ptCount val="1"/>
                <c:pt idx="0">
                  <c:v>Practicable Case Disposal (Pt)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Results'!$A$40:$A$47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Generic</c:v>
                </c:pt>
                <c:pt idx="5">
                  <c:v>Lead</c:v>
                </c:pt>
                <c:pt idx="6">
                  <c:v>Nickel</c:v>
                </c:pt>
                <c:pt idx="7">
                  <c:v>Zinc</c:v>
                </c:pt>
              </c:strCache>
            </c:strRef>
          </c:cat>
          <c:val>
            <c:numRef>
              <c:f>'Invnetory Study Results'!$C$40:$C$47</c:f>
              <c:numCache>
                <c:formatCode>0.00E+00</c:formatCode>
                <c:ptCount val="8"/>
                <c:pt idx="0">
                  <c:v>141000000</c:v>
                </c:pt>
                <c:pt idx="1">
                  <c:v>115000000</c:v>
                </c:pt>
                <c:pt idx="2">
                  <c:v>3450000</c:v>
                </c:pt>
                <c:pt idx="3">
                  <c:v>1160000</c:v>
                </c:pt>
                <c:pt idx="4">
                  <c:v>21300000</c:v>
                </c:pt>
                <c:pt idx="5">
                  <c:v>2360000</c:v>
                </c:pt>
                <c:pt idx="6">
                  <c:v>8920000</c:v>
                </c:pt>
                <c:pt idx="7">
                  <c:v>138000</c:v>
                </c:pt>
              </c:numCache>
            </c:numRef>
          </c:val>
        </c:ser>
        <c:ser>
          <c:idx val="1"/>
          <c:order val="1"/>
          <c:tx>
            <c:strRef>
              <c:f>'Invnetory Study Results'!$D$39</c:f>
              <c:strCache>
                <c:ptCount val="1"/>
                <c:pt idx="0">
                  <c:v>Best Case ILW Disposal (Pt)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Results'!$A$40:$A$47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Generic</c:v>
                </c:pt>
                <c:pt idx="5">
                  <c:v>Lead</c:v>
                </c:pt>
                <c:pt idx="6">
                  <c:v>Nickel</c:v>
                </c:pt>
                <c:pt idx="7">
                  <c:v>Zinc</c:v>
                </c:pt>
              </c:strCache>
            </c:strRef>
          </c:cat>
          <c:val>
            <c:numRef>
              <c:f>'Invnetory Study Results'!$D$40:$D$47</c:f>
              <c:numCache>
                <c:formatCode>0.00E+00</c:formatCode>
                <c:ptCount val="8"/>
                <c:pt idx="0">
                  <c:v>128000000</c:v>
                </c:pt>
                <c:pt idx="1">
                  <c:v>105000000</c:v>
                </c:pt>
                <c:pt idx="2">
                  <c:v>3140000</c:v>
                </c:pt>
                <c:pt idx="3">
                  <c:v>1060000</c:v>
                </c:pt>
                <c:pt idx="4">
                  <c:v>19400000</c:v>
                </c:pt>
                <c:pt idx="5">
                  <c:v>2150000</c:v>
                </c:pt>
                <c:pt idx="6">
                  <c:v>8110000</c:v>
                </c:pt>
                <c:pt idx="7">
                  <c:v>126000</c:v>
                </c:pt>
              </c:numCache>
            </c:numRef>
          </c:val>
        </c:ser>
        <c:ser>
          <c:idx val="2"/>
          <c:order val="2"/>
          <c:tx>
            <c:strRef>
              <c:f>'Invnetory Study Results'!$E$39</c:f>
              <c:strCache>
                <c:ptCount val="1"/>
                <c:pt idx="0">
                  <c:v>Best Case LLW Disposal (Pt)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Results'!$A$40:$A$47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Generic</c:v>
                </c:pt>
                <c:pt idx="5">
                  <c:v>Lead</c:v>
                </c:pt>
                <c:pt idx="6">
                  <c:v>Nickel</c:v>
                </c:pt>
                <c:pt idx="7">
                  <c:v>Zinc</c:v>
                </c:pt>
              </c:strCache>
            </c:strRef>
          </c:cat>
          <c:val>
            <c:numRef>
              <c:f>'Invnetory Study Results'!$E$40:$E$47</c:f>
              <c:numCache>
                <c:formatCode>0.00E+00</c:formatCode>
                <c:ptCount val="8"/>
                <c:pt idx="0">
                  <c:v>1150000</c:v>
                </c:pt>
                <c:pt idx="1">
                  <c:v>942000</c:v>
                </c:pt>
                <c:pt idx="2">
                  <c:v>28300</c:v>
                </c:pt>
                <c:pt idx="3">
                  <c:v>9540</c:v>
                </c:pt>
                <c:pt idx="4">
                  <c:v>175000</c:v>
                </c:pt>
                <c:pt idx="5">
                  <c:v>19400</c:v>
                </c:pt>
                <c:pt idx="6">
                  <c:v>73100</c:v>
                </c:pt>
                <c:pt idx="7">
                  <c:v>1130</c:v>
                </c:pt>
              </c:numCache>
            </c:numRef>
          </c:val>
        </c:ser>
        <c:axId val="46657920"/>
        <c:axId val="46659840"/>
      </c:barChart>
      <c:catAx>
        <c:axId val="466579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ILW Metal</a:t>
                </a:r>
              </a:p>
            </c:rich>
          </c:tx>
          <c:layout>
            <c:manualLayout>
              <c:xMode val="edge"/>
              <c:yMode val="edge"/>
              <c:x val="0.42547436347526624"/>
              <c:y val="0.8522747609916636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659840"/>
        <c:crosses val="autoZero"/>
        <c:auto val="1"/>
        <c:lblAlgn val="ctr"/>
        <c:lblOffset val="100"/>
        <c:tickLblSkip val="1"/>
        <c:tickMarkSkip val="1"/>
      </c:catAx>
      <c:valAx>
        <c:axId val="46659840"/>
        <c:scaling>
          <c:logBase val="10"/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Score (Pt)</a:t>
                </a:r>
              </a:p>
            </c:rich>
          </c:tx>
          <c:layout>
            <c:manualLayout>
              <c:xMode val="edge"/>
              <c:yMode val="edge"/>
              <c:x val="3.7413890142713055E-2"/>
              <c:y val="0.17783471366597312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65792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651978113343683"/>
          <c:y val="0.3359181603232001"/>
          <c:w val="0.12738879915737616"/>
          <c:h val="0.1291992924320000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8604667809758402"/>
          <c:y val="0.16374269005848002"/>
          <c:w val="0.64270663048725707"/>
          <c:h val="0.35087765345121302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Results'!$B$51</c:f>
              <c:strCache>
                <c:ptCount val="1"/>
                <c:pt idx="0">
                  <c:v>Worst Case Disposal (Pt)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Results'!$A$52:$A$59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Generic</c:v>
                </c:pt>
                <c:pt idx="5">
                  <c:v>Lead</c:v>
                </c:pt>
                <c:pt idx="6">
                  <c:v>Nickel</c:v>
                </c:pt>
                <c:pt idx="7">
                  <c:v>Zinc</c:v>
                </c:pt>
              </c:strCache>
            </c:strRef>
          </c:cat>
          <c:val>
            <c:numRef>
              <c:f>'Invnetory Study Results'!$B$52:$B$59</c:f>
              <c:numCache>
                <c:formatCode>0.00E+00</c:formatCode>
                <c:ptCount val="8"/>
                <c:pt idx="0">
                  <c:v>62800000</c:v>
                </c:pt>
                <c:pt idx="1">
                  <c:v>17410000</c:v>
                </c:pt>
                <c:pt idx="2">
                  <c:v>2421000</c:v>
                </c:pt>
                <c:pt idx="3">
                  <c:v>843000</c:v>
                </c:pt>
                <c:pt idx="4">
                  <c:v>25600000</c:v>
                </c:pt>
                <c:pt idx="5">
                  <c:v>1491000</c:v>
                </c:pt>
                <c:pt idx="6">
                  <c:v>1140000</c:v>
                </c:pt>
                <c:pt idx="7">
                  <c:v>2122700</c:v>
                </c:pt>
              </c:numCache>
            </c:numRef>
          </c:val>
        </c:ser>
        <c:ser>
          <c:idx val="1"/>
          <c:order val="1"/>
          <c:tx>
            <c:strRef>
              <c:f>'Invnetory Study Results'!$C$51</c:f>
              <c:strCache>
                <c:ptCount val="1"/>
                <c:pt idx="0">
                  <c:v>Best Case Disposal (Pt)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Results'!$A$52:$A$59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Generic</c:v>
                </c:pt>
                <c:pt idx="5">
                  <c:v>Lead</c:v>
                </c:pt>
                <c:pt idx="6">
                  <c:v>Nickel</c:v>
                </c:pt>
                <c:pt idx="7">
                  <c:v>Zinc</c:v>
                </c:pt>
              </c:strCache>
            </c:strRef>
          </c:cat>
          <c:val>
            <c:numRef>
              <c:f>'Invnetory Study Results'!$C$52:$C$59</c:f>
              <c:numCache>
                <c:formatCode>0.00E+00</c:formatCode>
                <c:ptCount val="8"/>
                <c:pt idx="0">
                  <c:v>53002000</c:v>
                </c:pt>
                <c:pt idx="1">
                  <c:v>12568000</c:v>
                </c:pt>
                <c:pt idx="2">
                  <c:v>490000</c:v>
                </c:pt>
                <c:pt idx="3">
                  <c:v>595800</c:v>
                </c:pt>
                <c:pt idx="4">
                  <c:v>25600000</c:v>
                </c:pt>
                <c:pt idx="5">
                  <c:v>999300</c:v>
                </c:pt>
                <c:pt idx="6">
                  <c:v>1140000</c:v>
                </c:pt>
                <c:pt idx="7">
                  <c:v>191700</c:v>
                </c:pt>
              </c:numCache>
            </c:numRef>
          </c:val>
        </c:ser>
        <c:axId val="46766720"/>
        <c:axId val="46768896"/>
      </c:barChart>
      <c:catAx>
        <c:axId val="467667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VLLW+LLW Metal</a:t>
                </a:r>
              </a:p>
            </c:rich>
          </c:tx>
          <c:layout>
            <c:manualLayout>
              <c:xMode val="edge"/>
              <c:yMode val="edge"/>
              <c:x val="0.41505324821410311"/>
              <c:y val="0.8579233917599380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68896"/>
        <c:crosses val="autoZero"/>
        <c:auto val="1"/>
        <c:lblAlgn val="ctr"/>
        <c:lblOffset val="100"/>
        <c:tickLblSkip val="1"/>
        <c:tickMarkSkip val="1"/>
      </c:catAx>
      <c:valAx>
        <c:axId val="46768896"/>
        <c:scaling>
          <c:logBase val="10"/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Score (Pt)</a:t>
                </a:r>
              </a:p>
            </c:rich>
          </c:tx>
          <c:layout>
            <c:manualLayout>
              <c:xMode val="edge"/>
              <c:yMode val="edge"/>
              <c:x val="2.7956894998514795E-2"/>
              <c:y val="4.3715570036504059E-2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6672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899814471243041"/>
          <c:y val="0.30916088151702931"/>
          <c:w val="0.11131725417439703"/>
          <c:h val="0.1259544332106415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4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1836247586616243E-2"/>
          <c:y val="0.10543122766758502"/>
          <c:w val="0.89620671137538299"/>
          <c:h val="0.75718790779447609"/>
        </c:manualLayout>
      </c:layout>
      <c:barChart>
        <c:barDir val="col"/>
        <c:grouping val="clustered"/>
        <c:ser>
          <c:idx val="0"/>
          <c:order val="0"/>
          <c:tx>
            <c:strRef>
              <c:f>'General metal graphs'!$C$200</c:f>
              <c:strCache>
                <c:ptCount val="1"/>
                <c:pt idx="0">
                  <c:v>LLW (Including VLLW)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graphs'!$B$201:$B$211</c:f>
              <c:numCache>
                <c:formatCode>General</c:formatCode>
                <c:ptCount val="11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  <c:pt idx="6">
                  <c:v>2080</c:v>
                </c:pt>
                <c:pt idx="7">
                  <c:v>2090</c:v>
                </c:pt>
                <c:pt idx="8">
                  <c:v>2100</c:v>
                </c:pt>
                <c:pt idx="9">
                  <c:v>2110</c:v>
                </c:pt>
                <c:pt idx="10">
                  <c:v>2120</c:v>
                </c:pt>
              </c:numCache>
            </c:numRef>
          </c:cat>
          <c:val>
            <c:numRef>
              <c:f>'General metal graphs'!$C$201:$C$211</c:f>
              <c:numCache>
                <c:formatCode>General</c:formatCode>
                <c:ptCount val="11"/>
                <c:pt idx="0">
                  <c:v>400000</c:v>
                </c:pt>
                <c:pt idx="1">
                  <c:v>300000</c:v>
                </c:pt>
                <c:pt idx="2">
                  <c:v>220000</c:v>
                </c:pt>
                <c:pt idx="3">
                  <c:v>540000</c:v>
                </c:pt>
                <c:pt idx="4">
                  <c:v>350000</c:v>
                </c:pt>
                <c:pt idx="5">
                  <c:v>350000</c:v>
                </c:pt>
                <c:pt idx="6">
                  <c:v>430000</c:v>
                </c:pt>
                <c:pt idx="7">
                  <c:v>430000</c:v>
                </c:pt>
                <c:pt idx="8">
                  <c:v>430000</c:v>
                </c:pt>
                <c:pt idx="9">
                  <c:v>430000</c:v>
                </c:pt>
                <c:pt idx="10">
                  <c:v>430000</c:v>
                </c:pt>
              </c:numCache>
            </c:numRef>
          </c:val>
        </c:ser>
        <c:axId val="52974720"/>
        <c:axId val="52977024"/>
      </c:barChart>
      <c:lineChart>
        <c:grouping val="standard"/>
        <c:ser>
          <c:idx val="1"/>
          <c:order val="1"/>
          <c:tx>
            <c:strRef>
              <c:f>'General metal graphs'!$D$200</c:f>
              <c:strCache>
                <c:ptCount val="1"/>
                <c:pt idx="0">
                  <c:v>ILW 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B143"/>
                </a:solidFill>
                <a:prstDash val="solid"/>
              </a:ln>
            </c:spPr>
          </c:marker>
          <c:cat>
            <c:numRef>
              <c:f>'General metal graphs'!$B$201:$B$211</c:f>
              <c:numCache>
                <c:formatCode>General</c:formatCode>
                <c:ptCount val="11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  <c:pt idx="6">
                  <c:v>2080</c:v>
                </c:pt>
                <c:pt idx="7">
                  <c:v>2090</c:v>
                </c:pt>
                <c:pt idx="8">
                  <c:v>2100</c:v>
                </c:pt>
                <c:pt idx="9">
                  <c:v>2110</c:v>
                </c:pt>
                <c:pt idx="10">
                  <c:v>2120</c:v>
                </c:pt>
              </c:numCache>
            </c:numRef>
          </c:cat>
          <c:val>
            <c:numRef>
              <c:f>'General metal graphs'!$D$201:$D$211</c:f>
              <c:numCache>
                <c:formatCode>General</c:formatCode>
                <c:ptCount val="11"/>
                <c:pt idx="0">
                  <c:v>20000</c:v>
                </c:pt>
                <c:pt idx="1">
                  <c:v>23000</c:v>
                </c:pt>
                <c:pt idx="2">
                  <c:v>23000</c:v>
                </c:pt>
                <c:pt idx="3">
                  <c:v>23000</c:v>
                </c:pt>
                <c:pt idx="4">
                  <c:v>9000</c:v>
                </c:pt>
                <c:pt idx="5">
                  <c:v>9000</c:v>
                </c:pt>
                <c:pt idx="6">
                  <c:v>20000</c:v>
                </c:pt>
                <c:pt idx="7">
                  <c:v>20000</c:v>
                </c:pt>
                <c:pt idx="8">
                  <c:v>20000</c:v>
                </c:pt>
                <c:pt idx="9">
                  <c:v>20000</c:v>
                </c:pt>
                <c:pt idx="10">
                  <c:v>20000</c:v>
                </c:pt>
              </c:numCache>
            </c:numRef>
          </c:val>
        </c:ser>
        <c:marker val="1"/>
        <c:axId val="52974720"/>
        <c:axId val="52977024"/>
      </c:lineChart>
      <c:catAx>
        <c:axId val="529747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Decade</a:t>
                </a:r>
              </a:p>
            </c:rich>
          </c:tx>
          <c:layout>
            <c:manualLayout>
              <c:xMode val="edge"/>
              <c:yMode val="edge"/>
              <c:x val="0.51408501323226719"/>
              <c:y val="0.9268292904309152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977024"/>
        <c:crosses val="autoZero"/>
        <c:auto val="1"/>
        <c:lblAlgn val="ctr"/>
        <c:lblOffset val="100"/>
        <c:tickLblSkip val="1"/>
        <c:tickMarkSkip val="1"/>
      </c:catAx>
      <c:valAx>
        <c:axId val="529770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Waste Volume(m3)</a:t>
                </a:r>
              </a:p>
            </c:rich>
          </c:tx>
          <c:layout>
            <c:manualLayout>
              <c:xMode val="edge"/>
              <c:yMode val="edge"/>
              <c:x val="2.8168937389050432E-2"/>
              <c:y val="0.3804878712927454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97472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004174357860702"/>
          <c:y val="1.9644599379528838E-2"/>
          <c:w val="0.21619795625369478"/>
          <c:h val="3.64828274191249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4925388673320802"/>
          <c:y val="0.114754098360656"/>
          <c:w val="0.57356136473189789"/>
          <c:h val="0.468852459016393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Results'!$B$63</c:f>
              <c:strCache>
                <c:ptCount val="1"/>
                <c:pt idx="0">
                  <c:v>Worst Case Disposal (Pt)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Results'!$A$64:$A$79</c:f>
              <c:strCache>
                <c:ptCount val="16"/>
                <c:pt idx="0">
                  <c:v>ILW SS production</c:v>
                </c:pt>
                <c:pt idx="1">
                  <c:v>ILW MS production*</c:v>
                </c:pt>
                <c:pt idx="2">
                  <c:v>HHISO production</c:v>
                </c:pt>
                <c:pt idx="3">
                  <c:v>Drum 210litre production*</c:v>
                </c:pt>
                <c:pt idx="4">
                  <c:v>Empty ILW box transport</c:v>
                </c:pt>
                <c:pt idx="5">
                  <c:v>Empty HHISO transport</c:v>
                </c:pt>
                <c:pt idx="6">
                  <c:v>Empty 210litre drum trans*</c:v>
                </c:pt>
                <c:pt idx="7">
                  <c:v>ILW size reduction</c:v>
                </c:pt>
                <c:pt idx="8">
                  <c:v>LLW size reduction</c:v>
                </c:pt>
                <c:pt idx="9">
                  <c:v>VLLW size reduction</c:v>
                </c:pt>
                <c:pt idx="10">
                  <c:v>ILW grout, cap,shielding</c:v>
                </c:pt>
                <c:pt idx="11">
                  <c:v>LLW grout, cap,shielding</c:v>
                </c:pt>
                <c:pt idx="12">
                  <c:v>VLLW grout, cap,shielding</c:v>
                </c:pt>
                <c:pt idx="13">
                  <c:v>ILW Decontam*</c:v>
                </c:pt>
                <c:pt idx="14">
                  <c:v>LLW Decontam</c:v>
                </c:pt>
                <c:pt idx="15">
                  <c:v>VLLW Decontam</c:v>
                </c:pt>
              </c:strCache>
            </c:strRef>
          </c:cat>
          <c:val>
            <c:numRef>
              <c:f>'Invnetory Study Results'!$B$64:$B$79</c:f>
              <c:numCache>
                <c:formatCode>0.00E+00</c:formatCode>
                <c:ptCount val="16"/>
                <c:pt idx="0">
                  <c:v>14000000</c:v>
                </c:pt>
                <c:pt idx="1">
                  <c:v>1</c:v>
                </c:pt>
                <c:pt idx="2">
                  <c:v>17300000</c:v>
                </c:pt>
                <c:pt idx="3">
                  <c:v>1</c:v>
                </c:pt>
                <c:pt idx="4">
                  <c:v>86100</c:v>
                </c:pt>
                <c:pt idx="5">
                  <c:v>282000</c:v>
                </c:pt>
                <c:pt idx="6">
                  <c:v>1</c:v>
                </c:pt>
                <c:pt idx="7">
                  <c:v>39500</c:v>
                </c:pt>
                <c:pt idx="8">
                  <c:v>245000</c:v>
                </c:pt>
                <c:pt idx="9">
                  <c:v>56300</c:v>
                </c:pt>
                <c:pt idx="10">
                  <c:v>2210000</c:v>
                </c:pt>
                <c:pt idx="11">
                  <c:v>7550000</c:v>
                </c:pt>
                <c:pt idx="12">
                  <c:v>1710000</c:v>
                </c:pt>
                <c:pt idx="13">
                  <c:v>1</c:v>
                </c:pt>
                <c:pt idx="14">
                  <c:v>3900000</c:v>
                </c:pt>
                <c:pt idx="15">
                  <c:v>1</c:v>
                </c:pt>
              </c:numCache>
            </c:numRef>
          </c:val>
        </c:ser>
        <c:ser>
          <c:idx val="1"/>
          <c:order val="1"/>
          <c:tx>
            <c:strRef>
              <c:f>'Invnetory Study Results'!$C$63</c:f>
              <c:strCache>
                <c:ptCount val="1"/>
                <c:pt idx="0">
                  <c:v>Best Case Disposal (Pt)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Results'!$A$64:$A$79</c:f>
              <c:strCache>
                <c:ptCount val="16"/>
                <c:pt idx="0">
                  <c:v>ILW SS production</c:v>
                </c:pt>
                <c:pt idx="1">
                  <c:v>ILW MS production*</c:v>
                </c:pt>
                <c:pt idx="2">
                  <c:v>HHISO production</c:v>
                </c:pt>
                <c:pt idx="3">
                  <c:v>Drum 210litre production*</c:v>
                </c:pt>
                <c:pt idx="4">
                  <c:v>Empty ILW box transport</c:v>
                </c:pt>
                <c:pt idx="5">
                  <c:v>Empty HHISO transport</c:v>
                </c:pt>
                <c:pt idx="6">
                  <c:v>Empty 210litre drum trans*</c:v>
                </c:pt>
                <c:pt idx="7">
                  <c:v>ILW size reduction</c:v>
                </c:pt>
                <c:pt idx="8">
                  <c:v>LLW size reduction</c:v>
                </c:pt>
                <c:pt idx="9">
                  <c:v>VLLW size reduction</c:v>
                </c:pt>
                <c:pt idx="10">
                  <c:v>ILW grout, cap,shielding</c:v>
                </c:pt>
                <c:pt idx="11">
                  <c:v>LLW grout, cap,shielding</c:v>
                </c:pt>
                <c:pt idx="12">
                  <c:v>VLLW grout, cap,shielding</c:v>
                </c:pt>
                <c:pt idx="13">
                  <c:v>ILW Decontam*</c:v>
                </c:pt>
                <c:pt idx="14">
                  <c:v>LLW Decontam</c:v>
                </c:pt>
                <c:pt idx="15">
                  <c:v>VLLW Decontam</c:v>
                </c:pt>
              </c:strCache>
            </c:strRef>
          </c:cat>
          <c:val>
            <c:numRef>
              <c:f>'Invnetory Study Results'!$C$64:$C$79</c:f>
              <c:numCache>
                <c:formatCode>0.00E+00</c:formatCode>
                <c:ptCount val="16"/>
                <c:pt idx="0">
                  <c:v>12700000</c:v>
                </c:pt>
                <c:pt idx="1">
                  <c:v>476000</c:v>
                </c:pt>
                <c:pt idx="2">
                  <c:v>14100000</c:v>
                </c:pt>
                <c:pt idx="3">
                  <c:v>1250000</c:v>
                </c:pt>
                <c:pt idx="4">
                  <c:v>86100</c:v>
                </c:pt>
                <c:pt idx="5">
                  <c:v>229000</c:v>
                </c:pt>
                <c:pt idx="6">
                  <c:v>20400</c:v>
                </c:pt>
                <c:pt idx="7">
                  <c:v>39500</c:v>
                </c:pt>
                <c:pt idx="8">
                  <c:v>245000</c:v>
                </c:pt>
                <c:pt idx="9">
                  <c:v>56300</c:v>
                </c:pt>
                <c:pt idx="10">
                  <c:v>2210000</c:v>
                </c:pt>
                <c:pt idx="11">
                  <c:v>7550000</c:v>
                </c:pt>
                <c:pt idx="12">
                  <c:v>1</c:v>
                </c:pt>
                <c:pt idx="13">
                  <c:v>1</c:v>
                </c:pt>
                <c:pt idx="14">
                  <c:v>3900000</c:v>
                </c:pt>
                <c:pt idx="15">
                  <c:v>1</c:v>
                </c:pt>
              </c:numCache>
            </c:numRef>
          </c:val>
        </c:ser>
        <c:axId val="46859392"/>
        <c:axId val="46861312"/>
      </c:barChart>
      <c:catAx>
        <c:axId val="468593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</a:t>
                </a:r>
              </a:p>
            </c:rich>
          </c:tx>
          <c:layout>
            <c:manualLayout>
              <c:xMode val="edge"/>
              <c:yMode val="edge"/>
              <c:x val="0.40645127614207699"/>
              <c:y val="0.8927212400336750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861312"/>
        <c:crosses val="autoZero"/>
        <c:auto val="1"/>
        <c:lblAlgn val="ctr"/>
        <c:lblOffset val="100"/>
        <c:tickLblSkip val="1"/>
        <c:tickMarkSkip val="1"/>
      </c:catAx>
      <c:valAx>
        <c:axId val="46861312"/>
        <c:scaling>
          <c:logBase val="10"/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Score (Pt)</a:t>
                </a:r>
              </a:p>
            </c:rich>
          </c:tx>
          <c:layout>
            <c:manualLayout>
              <c:xMode val="edge"/>
              <c:yMode val="edge"/>
              <c:x val="2.795704007918335E-2"/>
              <c:y val="0.13409968801069677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85939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647997951775281"/>
          <c:y val="2.1226439538850072E-2"/>
          <c:w val="0.35018790633029451"/>
          <c:h val="4.716986564188905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New Times Roman"/>
              <a:ea typeface="New Times Roman"/>
              <a:cs typeface="New Times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portrait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7452552664337907E-2"/>
          <c:y val="0.171875"/>
          <c:w val="0.89353695113562581"/>
          <c:h val="0.37812500000000004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Results'!$Q$2</c:f>
              <c:strCache>
                <c:ptCount val="1"/>
                <c:pt idx="0">
                  <c:v>Empty Package Impacts Worst Case (%)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Results'!$P$3:$P$13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Results'!$Q$3:$Q$13</c:f>
              <c:numCache>
                <c:formatCode>0.00</c:formatCode>
                <c:ptCount val="11"/>
                <c:pt idx="0">
                  <c:v>0.490233924941812</c:v>
                </c:pt>
                <c:pt idx="1">
                  <c:v>3.5130123366275598E-3</c:v>
                </c:pt>
                <c:pt idx="2">
                  <c:v>8.3756565313945206</c:v>
                </c:pt>
                <c:pt idx="3">
                  <c:v>1.2226076832556931</c:v>
                </c:pt>
                <c:pt idx="4">
                  <c:v>1.014208646337109E-2</c:v>
                </c:pt>
                <c:pt idx="5">
                  <c:v>3.1756043720927095E-4</c:v>
                </c:pt>
                <c:pt idx="6">
                  <c:v>2.6992637162788031</c:v>
                </c:pt>
                <c:pt idx="7">
                  <c:v>0.13218453198835903</c:v>
                </c:pt>
                <c:pt idx="8">
                  <c:v>0.1468717022092878</c:v>
                </c:pt>
                <c:pt idx="9">
                  <c:v>3.4931648093019803</c:v>
                </c:pt>
                <c:pt idx="10">
                  <c:v>2.758806298255541</c:v>
                </c:pt>
              </c:numCache>
            </c:numRef>
          </c:val>
        </c:ser>
        <c:ser>
          <c:idx val="1"/>
          <c:order val="1"/>
          <c:tx>
            <c:strRef>
              <c:f>'Invnetory Study Results'!$R$2</c:f>
              <c:strCache>
                <c:ptCount val="1"/>
                <c:pt idx="0">
                  <c:v>Waste Scenario Impacts Worst Case (%)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Results'!$P$3:$P$13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Results'!$R$3:$R$13</c:f>
              <c:numCache>
                <c:formatCode>0.00</c:formatCode>
                <c:ptCount val="11"/>
                <c:pt idx="0">
                  <c:v>5.001576886046017</c:v>
                </c:pt>
                <c:pt idx="1">
                  <c:v>3.1160617901159714E-2</c:v>
                </c:pt>
                <c:pt idx="2">
                  <c:v>32.946895360461859</c:v>
                </c:pt>
                <c:pt idx="3">
                  <c:v>8.4947416953479973</c:v>
                </c:pt>
                <c:pt idx="4">
                  <c:v>0.17624604265114538</c:v>
                </c:pt>
                <c:pt idx="5">
                  <c:v>5.8947156156970914E-3</c:v>
                </c:pt>
                <c:pt idx="6">
                  <c:v>3.2152994267438681</c:v>
                </c:pt>
                <c:pt idx="7">
                  <c:v>1.155126090348723</c:v>
                </c:pt>
                <c:pt idx="8">
                  <c:v>1.0598579591859418</c:v>
                </c:pt>
                <c:pt idx="9">
                  <c:v>4.7634065581390637</c:v>
                </c:pt>
                <c:pt idx="10">
                  <c:v>23.817032790695318</c:v>
                </c:pt>
              </c:numCache>
            </c:numRef>
          </c:val>
        </c:ser>
        <c:ser>
          <c:idx val="2"/>
          <c:order val="2"/>
          <c:tx>
            <c:strRef>
              <c:f>'Invnetory Study Results'!$S$2</c:f>
              <c:strCache>
                <c:ptCount val="1"/>
                <c:pt idx="0">
                  <c:v>Empty Package Impacts Best Case (%)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Results'!$P$3:$P$13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Results'!$S$3:$S$13</c:f>
              <c:numCache>
                <c:formatCode>0.00</c:formatCode>
                <c:ptCount val="11"/>
                <c:pt idx="0">
                  <c:v>0.49618818313948587</c:v>
                </c:pt>
                <c:pt idx="1">
                  <c:v>3.1954518994182887E-3</c:v>
                </c:pt>
                <c:pt idx="2">
                  <c:v>7.6412980203480823</c:v>
                </c:pt>
                <c:pt idx="3">
                  <c:v>1.1154310356975643</c:v>
                </c:pt>
                <c:pt idx="4">
                  <c:v>9.2489477337200157E-3</c:v>
                </c:pt>
                <c:pt idx="5">
                  <c:v>2.8977389895345975E-4</c:v>
                </c:pt>
                <c:pt idx="6">
                  <c:v>2.4412458610462702</c:v>
                </c:pt>
                <c:pt idx="7">
                  <c:v>0.12047449086626716</c:v>
                </c:pt>
                <c:pt idx="8">
                  <c:v>0.1337723341744054</c:v>
                </c:pt>
                <c:pt idx="9">
                  <c:v>3.1756043720927094</c:v>
                </c:pt>
                <c:pt idx="10">
                  <c:v>2.5206359703485881</c:v>
                </c:pt>
              </c:numCache>
            </c:numRef>
          </c:val>
        </c:ser>
        <c:ser>
          <c:idx val="3"/>
          <c:order val="3"/>
          <c:tx>
            <c:strRef>
              <c:f>'Invnetory Study Results'!$T$2</c:f>
              <c:strCache>
                <c:ptCount val="1"/>
                <c:pt idx="0">
                  <c:v>Waste Scenario Impacts Best Case (%)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Results'!$P$3:$P$13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Results'!$T$3:$T$13</c:f>
              <c:numCache>
                <c:formatCode>0.00</c:formatCode>
                <c:ptCount val="11"/>
                <c:pt idx="0">
                  <c:v>4.4259985936042137</c:v>
                </c:pt>
                <c:pt idx="1">
                  <c:v>2.7588062982555412E-2</c:v>
                </c:pt>
                <c:pt idx="2">
                  <c:v>29.374340441857562</c:v>
                </c:pt>
                <c:pt idx="3">
                  <c:v>7.5222128563946056</c:v>
                </c:pt>
                <c:pt idx="4">
                  <c:v>0.15679546587207752</c:v>
                </c:pt>
                <c:pt idx="5">
                  <c:v>5.3191373232552878E-3</c:v>
                </c:pt>
                <c:pt idx="6">
                  <c:v>2.838196407557859</c:v>
                </c:pt>
                <c:pt idx="7">
                  <c:v>1.0281019154650148</c:v>
                </c:pt>
                <c:pt idx="8">
                  <c:v>1.1055072720347745</c:v>
                </c:pt>
                <c:pt idx="9">
                  <c:v>4.2275233203484195</c:v>
                </c:pt>
                <c:pt idx="10">
                  <c:v>21.435329511625788</c:v>
                </c:pt>
              </c:numCache>
            </c:numRef>
          </c:val>
        </c:ser>
        <c:axId val="46921216"/>
        <c:axId val="46923136"/>
      </c:barChart>
      <c:catAx>
        <c:axId val="46921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8505730958387483"/>
              <c:y val="0.8624344039014050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923136"/>
        <c:crosses val="autoZero"/>
        <c:auto val="1"/>
        <c:lblAlgn val="ctr"/>
        <c:lblOffset val="100"/>
        <c:tickLblSkip val="1"/>
        <c:tickMarkSkip val="1"/>
      </c:catAx>
      <c:valAx>
        <c:axId val="469231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Worst Case Life Cycle</a:t>
                </a:r>
              </a:p>
            </c:rich>
          </c:tx>
          <c:layout>
            <c:manualLayout>
              <c:xMode val="edge"/>
              <c:yMode val="edge"/>
              <c:x val="2.9884769258211655E-2"/>
              <c:y val="2.6455036968959324E-2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92121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427184466019417"/>
          <c:y val="5.0473186119873815E-2"/>
          <c:w val="0.73009708737864076"/>
          <c:h val="9.148264984227129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50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7.542570114609333E-2"/>
          <c:y val="0.23809504037866702"/>
          <c:w val="0.72262687872224896"/>
          <c:h val="0.51020365795428602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Results'!$Q$17</c:f>
              <c:strCache>
                <c:ptCount val="1"/>
                <c:pt idx="0">
                  <c:v>Target Worst Case Disposal (%)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Results'!$P$18:$P$25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</c:v>
                </c:pt>
                <c:pt idx="3">
                  <c:v>Drums, 210l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Decay</c:v>
                </c:pt>
              </c:strCache>
            </c:strRef>
          </c:cat>
          <c:val>
            <c:numRef>
              <c:f>'Invnetory Study Results'!$Q$18:$Q$25</c:f>
              <c:numCache>
                <c:formatCode>0.00</c:formatCode>
                <c:ptCount val="8"/>
                <c:pt idx="0">
                  <c:v>12.148236226714229</c:v>
                </c:pt>
                <c:pt idx="1">
                  <c:v>0</c:v>
                </c:pt>
                <c:pt idx="2">
                  <c:v>7.2136345620293305</c:v>
                </c:pt>
                <c:pt idx="3">
                  <c:v>0</c:v>
                </c:pt>
                <c:pt idx="4">
                  <c:v>4.0824415378517633</c:v>
                </c:pt>
                <c:pt idx="5">
                  <c:v>18.489892984542212</c:v>
                </c:pt>
                <c:pt idx="6">
                  <c:v>58.065794688862461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'Invnetory Study Results'!$R$17</c:f>
              <c:strCache>
                <c:ptCount val="1"/>
                <c:pt idx="0">
                  <c:v>Best Case Disposal (% of Worst Case)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Results'!$P$18:$P$25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</c:v>
                </c:pt>
                <c:pt idx="3">
                  <c:v>Drums, 210l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Decay</c:v>
                </c:pt>
              </c:strCache>
            </c:strRef>
          </c:cat>
          <c:val>
            <c:numRef>
              <c:f>'Invnetory Study Results'!$R$18:$R$25</c:f>
              <c:numCache>
                <c:formatCode>0.00</c:formatCode>
                <c:ptCount val="8"/>
                <c:pt idx="0">
                  <c:v>11.038446294094333</c:v>
                </c:pt>
                <c:pt idx="1">
                  <c:v>0.19817677368212444</c:v>
                </c:pt>
                <c:pt idx="2">
                  <c:v>5.866032500990884</c:v>
                </c:pt>
                <c:pt idx="3">
                  <c:v>0.52318668252080858</c:v>
                </c:pt>
                <c:pt idx="4">
                  <c:v>0.27348394768133172</c:v>
                </c:pt>
                <c:pt idx="5">
                  <c:v>18.489892984542212</c:v>
                </c:pt>
                <c:pt idx="6">
                  <c:v>52.913198573127232</c:v>
                </c:pt>
                <c:pt idx="7">
                  <c:v>0.47562425683709864</c:v>
                </c:pt>
              </c:numCache>
            </c:numRef>
          </c:val>
        </c:ser>
        <c:ser>
          <c:idx val="2"/>
          <c:order val="2"/>
          <c:tx>
            <c:strRef>
              <c:f>'Invnetory Study Results'!$S$17</c:f>
              <c:strCache>
                <c:ptCount val="1"/>
                <c:pt idx="0">
                  <c:v>Improvement (% of Worst Case)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Results'!$P$18:$P$25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</c:v>
                </c:pt>
                <c:pt idx="3">
                  <c:v>Drums, 210l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Decay</c:v>
                </c:pt>
              </c:strCache>
            </c:strRef>
          </c:cat>
          <c:val>
            <c:numRef>
              <c:f>'Invnetory Study Results'!$S$18:$S$25</c:f>
              <c:numCache>
                <c:formatCode>0.00</c:formatCode>
                <c:ptCount val="8"/>
                <c:pt idx="0">
                  <c:v>1.1097899326198952</c:v>
                </c:pt>
                <c:pt idx="1">
                  <c:v>-0.19817677368212444</c:v>
                </c:pt>
                <c:pt idx="2">
                  <c:v>1.3476020610384465</c:v>
                </c:pt>
                <c:pt idx="3">
                  <c:v>-0.52318668252080858</c:v>
                </c:pt>
                <c:pt idx="4">
                  <c:v>3.8089575901704316</c:v>
                </c:pt>
                <c:pt idx="5">
                  <c:v>0</c:v>
                </c:pt>
                <c:pt idx="6">
                  <c:v>5.1525961157352285</c:v>
                </c:pt>
                <c:pt idx="7">
                  <c:v>-0.47562425683709864</c:v>
                </c:pt>
              </c:numCache>
            </c:numRef>
          </c:val>
        </c:ser>
        <c:axId val="38724352"/>
        <c:axId val="38726272"/>
      </c:barChart>
      <c:catAx>
        <c:axId val="387243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Life Cycle Product Stage</a:t>
                </a:r>
              </a:p>
            </c:rich>
          </c:tx>
          <c:layout>
            <c:manualLayout>
              <c:xMode val="edge"/>
              <c:yMode val="edge"/>
              <c:x val="0.3842486107147054"/>
              <c:y val="0.8175160648022445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726272"/>
        <c:crosses val="autoZero"/>
        <c:auto val="1"/>
        <c:lblAlgn val="ctr"/>
        <c:lblOffset val="100"/>
        <c:tickLblSkip val="1"/>
        <c:tickMarkSkip val="1"/>
      </c:catAx>
      <c:valAx>
        <c:axId val="387262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Worst Case Life Cycle</a:t>
                </a:r>
              </a:p>
            </c:rich>
          </c:tx>
          <c:layout>
            <c:manualLayout>
              <c:xMode val="edge"/>
              <c:yMode val="edge"/>
              <c:x val="3.1026196352321633E-2"/>
              <c:y val="0.13868540139379129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72435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21752796167873"/>
          <c:y val="5.1948271561618818E-2"/>
          <c:w val="0.33262294757686273"/>
          <c:h val="0.1428577467944517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31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922323624798704"/>
          <c:y val="0.18604703978651804"/>
          <c:w val="0.68203843079298798"/>
          <c:h val="0.49418744943293902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Results'!$Q$29</c:f>
              <c:strCache>
                <c:ptCount val="1"/>
                <c:pt idx="0">
                  <c:v>Worst Case Disposal (%)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Results'!$P$30:$P$35</c:f>
              <c:strCache>
                <c:ptCount val="6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Lead</c:v>
                </c:pt>
                <c:pt idx="5">
                  <c:v>Zinc</c:v>
                </c:pt>
              </c:strCache>
            </c:strRef>
          </c:cat>
          <c:val>
            <c:numRef>
              <c:f>'Invnetory Study Results'!$Q$30:$Q$35</c:f>
              <c:numCache>
                <c:formatCode>0.00</c:formatCode>
                <c:ptCount val="6"/>
                <c:pt idx="0">
                  <c:v>50.926375012125327</c:v>
                </c:pt>
                <c:pt idx="1">
                  <c:v>25.172179648850516</c:v>
                </c:pt>
                <c:pt idx="2">
                  <c:v>10.039771073818994</c:v>
                </c:pt>
                <c:pt idx="3">
                  <c:v>1.2852847026869725</c:v>
                </c:pt>
                <c:pt idx="4">
                  <c:v>2.5366184886991947</c:v>
                </c:pt>
                <c:pt idx="5">
                  <c:v>10.039771073818994</c:v>
                </c:pt>
              </c:numCache>
            </c:numRef>
          </c:val>
        </c:ser>
        <c:ser>
          <c:idx val="1"/>
          <c:order val="1"/>
          <c:tx>
            <c:strRef>
              <c:f>'Invnetory Study Results'!$R$29</c:f>
              <c:strCache>
                <c:ptCount val="1"/>
                <c:pt idx="0">
                  <c:v>Best Case Disposal (% of Worst Case)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Results'!$P$30:$P$35</c:f>
              <c:strCache>
                <c:ptCount val="6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Lead</c:v>
                </c:pt>
                <c:pt idx="5">
                  <c:v>Zinc</c:v>
                </c:pt>
              </c:strCache>
            </c:strRef>
          </c:cat>
          <c:val>
            <c:numRef>
              <c:f>'Invnetory Study Results'!$R$30:$R$35</c:f>
              <c:numCache>
                <c:formatCode>0.00</c:formatCode>
                <c:ptCount val="6"/>
                <c:pt idx="0">
                  <c:v>3.4047919293820934</c:v>
                </c:pt>
                <c:pt idx="1">
                  <c:v>1.6878455718304395</c:v>
                </c:pt>
                <c:pt idx="2">
                  <c:v>0.6741682025414687</c:v>
                </c:pt>
                <c:pt idx="3">
                  <c:v>8.6332330972936258E-2</c:v>
                </c:pt>
                <c:pt idx="4">
                  <c:v>0.17023959646910466</c:v>
                </c:pt>
                <c:pt idx="5">
                  <c:v>0.6741682025414687</c:v>
                </c:pt>
              </c:numCache>
            </c:numRef>
          </c:val>
        </c:ser>
        <c:ser>
          <c:idx val="2"/>
          <c:order val="2"/>
          <c:tx>
            <c:strRef>
              <c:f>'Invnetory Study Results'!$S$29</c:f>
              <c:strCache>
                <c:ptCount val="1"/>
                <c:pt idx="0">
                  <c:v>Improvement (% of Worst Case)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Results'!$P$30:$P$35</c:f>
              <c:strCache>
                <c:ptCount val="6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Lead</c:v>
                </c:pt>
                <c:pt idx="5">
                  <c:v>Zinc</c:v>
                </c:pt>
              </c:strCache>
            </c:strRef>
          </c:cat>
          <c:val>
            <c:numRef>
              <c:f>'Invnetory Study Results'!$S$30:$S$35</c:f>
              <c:numCache>
                <c:formatCode>0.00</c:formatCode>
                <c:ptCount val="6"/>
                <c:pt idx="0">
                  <c:v>47.521583082743234</c:v>
                </c:pt>
                <c:pt idx="1">
                  <c:v>23.484334077020076</c:v>
                </c:pt>
                <c:pt idx="2">
                  <c:v>9.3656028712775257</c:v>
                </c:pt>
                <c:pt idx="3">
                  <c:v>1.1989523717140362</c:v>
                </c:pt>
                <c:pt idx="4">
                  <c:v>2.3663788922300899</c:v>
                </c:pt>
                <c:pt idx="5">
                  <c:v>9.3656028712775257</c:v>
                </c:pt>
              </c:numCache>
            </c:numRef>
          </c:val>
        </c:ser>
        <c:axId val="38756352"/>
        <c:axId val="38758272"/>
      </c:barChart>
      <c:catAx>
        <c:axId val="387563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VLLW Metal</a:t>
                </a:r>
              </a:p>
            </c:rich>
          </c:tx>
          <c:layout>
            <c:manualLayout>
              <c:xMode val="edge"/>
              <c:yMode val="edge"/>
              <c:x val="0.42712548165521869"/>
              <c:y val="0.8461523014321196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758272"/>
        <c:crosses val="autoZero"/>
        <c:auto val="1"/>
        <c:lblAlgn val="ctr"/>
        <c:lblOffset val="100"/>
        <c:tickLblSkip val="1"/>
        <c:tickMarkSkip val="1"/>
      </c:catAx>
      <c:valAx>
        <c:axId val="387582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Percentage of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Worst Case VLLW Disposal</a:t>
                </a:r>
              </a:p>
            </c:rich>
          </c:tx>
          <c:layout>
            <c:manualLayout>
              <c:xMode val="edge"/>
              <c:yMode val="edge"/>
              <c:x val="2.6315742447087734E-2"/>
              <c:y val="7.1006006799485641E-2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75635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957446808510638"/>
          <c:y val="2.6845637583892617E-2"/>
          <c:w val="0.40638297872340423"/>
          <c:h val="8.389261744966443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5.9322049240383715E-2"/>
          <c:y val="0.22926801964079202"/>
          <c:w val="0.92584769707313119"/>
          <c:h val="0.51707255493455295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Results'!$Q$39</c:f>
              <c:strCache>
                <c:ptCount val="1"/>
                <c:pt idx="0">
                  <c:v>Worst Case Disposal (%)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Results'!$P$40:$P$47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Unspecified</c:v>
                </c:pt>
                <c:pt idx="5">
                  <c:v>Lead</c:v>
                </c:pt>
                <c:pt idx="6">
                  <c:v>Nickel</c:v>
                </c:pt>
                <c:pt idx="7">
                  <c:v>Zinc</c:v>
                </c:pt>
              </c:strCache>
            </c:strRef>
          </c:cat>
          <c:val>
            <c:numRef>
              <c:f>'Invnetory Study Results'!$Q$40:$Q$47</c:f>
              <c:numCache>
                <c:formatCode>0.00</c:formatCode>
                <c:ptCount val="8"/>
                <c:pt idx="0">
                  <c:v>48.069055801014564</c:v>
                </c:pt>
                <c:pt idx="1">
                  <c:v>39.205258277423226</c:v>
                </c:pt>
                <c:pt idx="2">
                  <c:v>1.1761577483226968</c:v>
                </c:pt>
                <c:pt idx="3">
                  <c:v>0.39546173566792125</c:v>
                </c:pt>
                <c:pt idx="4">
                  <c:v>7.2614956635575201</c:v>
                </c:pt>
                <c:pt idx="5">
                  <c:v>0.80456008291059833</c:v>
                </c:pt>
                <c:pt idx="6">
                  <c:v>3.0409643811705669</c:v>
                </c:pt>
                <c:pt idx="7">
                  <c:v>4.704630993290787E-2</c:v>
                </c:pt>
              </c:numCache>
            </c:numRef>
          </c:val>
        </c:ser>
        <c:ser>
          <c:idx val="1"/>
          <c:order val="1"/>
          <c:tx>
            <c:strRef>
              <c:f>'Invnetory Study Results'!$R$39</c:f>
              <c:strCache>
                <c:ptCount val="1"/>
                <c:pt idx="0">
                  <c:v>Best Case ILW Disposal Reduction (% Of Worst Case)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Results'!$P$40:$P$47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Unspecified</c:v>
                </c:pt>
                <c:pt idx="5">
                  <c:v>Lead</c:v>
                </c:pt>
                <c:pt idx="6">
                  <c:v>Nickel</c:v>
                </c:pt>
                <c:pt idx="7">
                  <c:v>Zinc</c:v>
                </c:pt>
              </c:strCache>
            </c:strRef>
          </c:cat>
          <c:val>
            <c:numRef>
              <c:f>'Invnetory Study Results'!$R$40:$R$47</c:f>
              <c:numCache>
                <c:formatCode>0.00</c:formatCode>
                <c:ptCount val="8"/>
                <c:pt idx="0">
                  <c:v>43.637157039218891</c:v>
                </c:pt>
                <c:pt idx="1">
                  <c:v>35.79610538373425</c:v>
                </c:pt>
                <c:pt idx="2">
                  <c:v>1.0704740086183386</c:v>
                </c:pt>
                <c:pt idx="3">
                  <c:v>0.36137020673103148</c:v>
                </c:pt>
                <c:pt idx="4">
                  <c:v>6.6137566137566131</c:v>
                </c:pt>
                <c:pt idx="5">
                  <c:v>0.73296787214312986</c:v>
                </c:pt>
                <c:pt idx="6">
                  <c:v>2.7648229967817595</c:v>
                </c:pt>
                <c:pt idx="7">
                  <c:v>4.29553264604811E-2</c:v>
                </c:pt>
              </c:numCache>
            </c:numRef>
          </c:val>
        </c:ser>
        <c:ser>
          <c:idx val="2"/>
          <c:order val="2"/>
          <c:tx>
            <c:strRef>
              <c:f>'Invnetory Study Results'!$S$39</c:f>
              <c:strCache>
                <c:ptCount val="1"/>
                <c:pt idx="0">
                  <c:v>Best Case LLW Disposal Increase (% of Worst Case)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Results'!$P$40:$P$47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Unspecified</c:v>
                </c:pt>
                <c:pt idx="5">
                  <c:v>Lead</c:v>
                </c:pt>
                <c:pt idx="6">
                  <c:v>Nickel</c:v>
                </c:pt>
                <c:pt idx="7">
                  <c:v>Zinc</c:v>
                </c:pt>
              </c:strCache>
            </c:strRef>
          </c:cat>
          <c:val>
            <c:numRef>
              <c:f>'Invnetory Study Results'!$S$40:$S$47</c:f>
              <c:numCache>
                <c:formatCode>0.00</c:formatCode>
                <c:ptCount val="8"/>
                <c:pt idx="0">
                  <c:v>0.39205258277423227</c:v>
                </c:pt>
                <c:pt idx="1">
                  <c:v>0.32114220258550152</c:v>
                </c:pt>
                <c:pt idx="2">
                  <c:v>9.6479026891398024E-3</c:v>
                </c:pt>
                <c:pt idx="3">
                  <c:v>3.252331860579283E-3</c:v>
                </c:pt>
                <c:pt idx="4">
                  <c:v>5.9660175639557084E-2</c:v>
                </c:pt>
                <c:pt idx="5">
                  <c:v>6.6137566137566143E-3</c:v>
                </c:pt>
                <c:pt idx="6">
                  <c:v>2.4920907652866416E-2</c:v>
                </c:pt>
                <c:pt idx="7">
                  <c:v>3.8523427698685433E-4</c:v>
                </c:pt>
              </c:numCache>
            </c:numRef>
          </c:val>
        </c:ser>
        <c:ser>
          <c:idx val="3"/>
          <c:order val="3"/>
          <c:tx>
            <c:strRef>
              <c:f>'Invnetory Study Results'!$T$39</c:f>
              <c:strCache>
                <c:ptCount val="1"/>
                <c:pt idx="0">
                  <c:v>Improvement (% of Worst Case)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Results'!$P$40:$P$47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Unspecified</c:v>
                </c:pt>
                <c:pt idx="5">
                  <c:v>Lead</c:v>
                </c:pt>
                <c:pt idx="6">
                  <c:v>Nickel</c:v>
                </c:pt>
                <c:pt idx="7">
                  <c:v>Zinc</c:v>
                </c:pt>
              </c:strCache>
            </c:strRef>
          </c:cat>
          <c:val>
            <c:numRef>
              <c:f>'Invnetory Study Results'!$T$40:$T$47</c:f>
              <c:numCache>
                <c:formatCode>0.00</c:formatCode>
                <c:ptCount val="8"/>
                <c:pt idx="0">
                  <c:v>4.0398461790214402</c:v>
                </c:pt>
                <c:pt idx="1">
                  <c:v>3.0880106911034746</c:v>
                </c:pt>
                <c:pt idx="2">
                  <c:v>9.6035837015218381E-2</c:v>
                </c:pt>
                <c:pt idx="3">
                  <c:v>3.0839197076310488E-2</c:v>
                </c:pt>
                <c:pt idx="4">
                  <c:v>0.58807887416134996</c:v>
                </c:pt>
                <c:pt idx="5">
                  <c:v>6.4978454153711854E-2</c:v>
                </c:pt>
                <c:pt idx="6">
                  <c:v>0.251220476735941</c:v>
                </c:pt>
                <c:pt idx="7">
                  <c:v>3.7057491954399164E-3</c:v>
                </c:pt>
              </c:numCache>
            </c:numRef>
          </c:val>
        </c:ser>
        <c:axId val="38813696"/>
        <c:axId val="38815616"/>
      </c:barChart>
      <c:catAx>
        <c:axId val="388136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ILW Metals</a:t>
                </a:r>
              </a:p>
            </c:rich>
          </c:tx>
          <c:layout>
            <c:manualLayout>
              <c:xMode val="edge"/>
              <c:yMode val="edge"/>
              <c:x val="0.51046099757010888"/>
              <c:y val="0.8743974292933008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15616"/>
        <c:crosses val="autoZero"/>
        <c:auto val="1"/>
        <c:lblAlgn val="ctr"/>
        <c:lblOffset val="100"/>
        <c:tickLblSkip val="1"/>
        <c:tickMarkSkip val="1"/>
      </c:catAx>
      <c:valAx>
        <c:axId val="388156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Worst Case ILW Disposal</a:t>
                </a:r>
              </a:p>
            </c:rich>
          </c:tx>
          <c:layout>
            <c:manualLayout>
              <c:xMode val="edge"/>
              <c:yMode val="edge"/>
              <c:x val="2.7196665351895948E-2"/>
              <c:y val="0.19806837229458465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1369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408163265306123"/>
          <c:y val="6.2305295950155763E-2"/>
          <c:w val="0.66048237476808902"/>
          <c:h val="0.1370716510903426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2009685230024202E-2"/>
          <c:y val="0.20754653244603605"/>
          <c:w val="0.53995157384987913"/>
          <c:h val="0.29559657651405108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Results'!$Q$51</c:f>
              <c:strCache>
                <c:ptCount val="1"/>
                <c:pt idx="0">
                  <c:v>Worst Case Disposal (%)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Results'!$P$52:$P$59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Unspecified</c:v>
                </c:pt>
                <c:pt idx="5">
                  <c:v>Lead</c:v>
                </c:pt>
                <c:pt idx="6">
                  <c:v>Nickel</c:v>
                </c:pt>
                <c:pt idx="7">
                  <c:v>Zinc</c:v>
                </c:pt>
              </c:strCache>
            </c:strRef>
          </c:cat>
          <c:val>
            <c:numRef>
              <c:f>'Invnetory Study Results'!$Q$52:$Q$59</c:f>
              <c:numCache>
                <c:formatCode>0.00</c:formatCode>
                <c:ptCount val="8"/>
                <c:pt idx="0">
                  <c:v>55.171105100076687</c:v>
                </c:pt>
                <c:pt idx="1">
                  <c:v>15.295046811979862</c:v>
                </c:pt>
                <c:pt idx="2">
                  <c:v>2.1268988128548676</c:v>
                </c:pt>
                <c:pt idx="3">
                  <c:v>0.74059301909816333</c:v>
                </c:pt>
                <c:pt idx="4">
                  <c:v>22.490132015317887</c:v>
                </c:pt>
                <c:pt idx="5">
                  <c:v>1.3098744857358973</c:v>
                </c:pt>
                <c:pt idx="6">
                  <c:v>1.0015136913071248</c:v>
                </c:pt>
                <c:pt idx="7">
                  <c:v>1.8648360636295034</c:v>
                </c:pt>
              </c:numCache>
            </c:numRef>
          </c:val>
        </c:ser>
        <c:ser>
          <c:idx val="1"/>
          <c:order val="1"/>
          <c:tx>
            <c:strRef>
              <c:f>'Invnetory Study Results'!$R$51</c:f>
              <c:strCache>
                <c:ptCount val="1"/>
                <c:pt idx="0">
                  <c:v>Best Case Disposal (% of Worst Case)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Results'!$P$52:$P$59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Unspecified</c:v>
                </c:pt>
                <c:pt idx="5">
                  <c:v>Lead</c:v>
                </c:pt>
                <c:pt idx="6">
                  <c:v>Nickel</c:v>
                </c:pt>
                <c:pt idx="7">
                  <c:v>Zinc</c:v>
                </c:pt>
              </c:strCache>
            </c:strRef>
          </c:cat>
          <c:val>
            <c:numRef>
              <c:f>'Invnetory Study Results'!$R$52:$R$59</c:f>
              <c:numCache>
                <c:formatCode>0.00</c:formatCode>
                <c:ptCount val="8"/>
                <c:pt idx="0">
                  <c:v>46.563358479526514</c:v>
                </c:pt>
                <c:pt idx="1">
                  <c:v>11.041249186270125</c:v>
                </c:pt>
                <c:pt idx="2">
                  <c:v>0.43047518310569394</c:v>
                </c:pt>
                <c:pt idx="3">
                  <c:v>0.52342268182524998</c:v>
                </c:pt>
                <c:pt idx="4">
                  <c:v>22.490132015317887</c:v>
                </c:pt>
                <c:pt idx="5">
                  <c:v>0.87790581730106121</c:v>
                </c:pt>
                <c:pt idx="6">
                  <c:v>1.0015136913071248</c:v>
                </c:pt>
                <c:pt idx="7">
                  <c:v>0.16841243388032967</c:v>
                </c:pt>
              </c:numCache>
            </c:numRef>
          </c:val>
        </c:ser>
        <c:ser>
          <c:idx val="2"/>
          <c:order val="2"/>
          <c:tx>
            <c:strRef>
              <c:f>'Invnetory Study Results'!$S$51</c:f>
              <c:strCache>
                <c:ptCount val="1"/>
                <c:pt idx="0">
                  <c:v>Improvement (% of Worst Case)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Results'!$P$52:$P$59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Unspecified</c:v>
                </c:pt>
                <c:pt idx="5">
                  <c:v>Lead</c:v>
                </c:pt>
                <c:pt idx="6">
                  <c:v>Nickel</c:v>
                </c:pt>
                <c:pt idx="7">
                  <c:v>Zinc</c:v>
                </c:pt>
              </c:strCache>
            </c:strRef>
          </c:cat>
          <c:val>
            <c:numRef>
              <c:f>'Invnetory Study Results'!$S$52:$S$59</c:f>
              <c:numCache>
                <c:formatCode>0.00</c:formatCode>
                <c:ptCount val="8"/>
                <c:pt idx="0">
                  <c:v>8.6077466205501736</c:v>
                </c:pt>
                <c:pt idx="1">
                  <c:v>4.253797625709737</c:v>
                </c:pt>
                <c:pt idx="2">
                  <c:v>1.6964236297491737</c:v>
                </c:pt>
                <c:pt idx="3">
                  <c:v>0.21717033727291335</c:v>
                </c:pt>
                <c:pt idx="4">
                  <c:v>0</c:v>
                </c:pt>
                <c:pt idx="5">
                  <c:v>0.43196866843483606</c:v>
                </c:pt>
                <c:pt idx="6">
                  <c:v>0</c:v>
                </c:pt>
                <c:pt idx="7">
                  <c:v>1.6964236297491737</c:v>
                </c:pt>
              </c:numCache>
            </c:numRef>
          </c:val>
        </c:ser>
        <c:axId val="38845440"/>
        <c:axId val="38872192"/>
      </c:barChart>
      <c:catAx>
        <c:axId val="388454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Net LLW and VLLW Metals</a:t>
                </a:r>
              </a:p>
            </c:rich>
          </c:tx>
          <c:layout>
            <c:manualLayout>
              <c:xMode val="edge"/>
              <c:yMode val="edge"/>
              <c:x val="0.30379731639574159"/>
              <c:y val="0.8579226991787317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2192"/>
        <c:crosses val="autoZero"/>
        <c:auto val="1"/>
        <c:lblAlgn val="ctr"/>
        <c:lblOffset val="100"/>
        <c:tickLblSkip val="1"/>
        <c:tickMarkSkip val="1"/>
      </c:catAx>
      <c:valAx>
        <c:axId val="388721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Percenatge of Worst Case Net LLW+VLLW Disposal</a:t>
                </a:r>
              </a:p>
            </c:rich>
          </c:tx>
          <c:layout>
            <c:manualLayout>
              <c:xMode val="edge"/>
              <c:yMode val="edge"/>
              <c:x val="2.742645734771719E-2"/>
              <c:y val="2.1858013716027434E-2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4544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416708204565845"/>
          <c:y val="4.0485909993970608E-2"/>
          <c:w val="0.65833467271865376"/>
          <c:h val="8.502041098733827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3605487369417549"/>
          <c:y val="0.19024435557439875"/>
          <c:w val="0.83333610137682479"/>
          <c:h val="0.34146422795404907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Results'!$Q$63</c:f>
              <c:strCache>
                <c:ptCount val="1"/>
                <c:pt idx="0">
                  <c:v>Worst Case (%)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Results'!$P$64:$P$79</c:f>
              <c:strCache>
                <c:ptCount val="16"/>
                <c:pt idx="0">
                  <c:v>ILW SS box production</c:v>
                </c:pt>
                <c:pt idx="1">
                  <c:v>ILW MS box production</c:v>
                </c:pt>
                <c:pt idx="2">
                  <c:v>LLW HHISO production</c:v>
                </c:pt>
                <c:pt idx="3">
                  <c:v>VLLW 210l drum production</c:v>
                </c:pt>
                <c:pt idx="4">
                  <c:v>ILW box transport</c:v>
                </c:pt>
                <c:pt idx="5">
                  <c:v>LLW HHISO transport</c:v>
                </c:pt>
                <c:pt idx="6">
                  <c:v>210l drum transport</c:v>
                </c:pt>
                <c:pt idx="7">
                  <c:v>ILW size reduction</c:v>
                </c:pt>
                <c:pt idx="8">
                  <c:v>LLW size reduction</c:v>
                </c:pt>
                <c:pt idx="9">
                  <c:v>VLLW size reduction</c:v>
                </c:pt>
                <c:pt idx="10">
                  <c:v>ILW grout, cap &amp; shielding</c:v>
                </c:pt>
                <c:pt idx="11">
                  <c:v>LLW grout, cap &amp; shielding</c:v>
                </c:pt>
                <c:pt idx="12">
                  <c:v>VLLW grout, cap &amp; shielding</c:v>
                </c:pt>
                <c:pt idx="13">
                  <c:v>ILW Decontamination</c:v>
                </c:pt>
                <c:pt idx="14">
                  <c:v>LLW Decontamination</c:v>
                </c:pt>
                <c:pt idx="15">
                  <c:v>VLLW Decontamination</c:v>
                </c:pt>
              </c:strCache>
            </c:strRef>
          </c:cat>
          <c:val>
            <c:numRef>
              <c:f>'Invnetory Study Results'!$Q$64:$Q$79</c:f>
              <c:numCache>
                <c:formatCode>0.00</c:formatCode>
                <c:ptCount val="16"/>
                <c:pt idx="0">
                  <c:v>2.7744748315497425</c:v>
                </c:pt>
                <c:pt idx="1">
                  <c:v>1.9817677368212446E-7</c:v>
                </c:pt>
                <c:pt idx="2">
                  <c:v>3.4284581847007529</c:v>
                </c:pt>
                <c:pt idx="3">
                  <c:v>1.9817677368212446E-7</c:v>
                </c:pt>
                <c:pt idx="4">
                  <c:v>1.7063020214030916E-2</c:v>
                </c:pt>
                <c:pt idx="5">
                  <c:v>5.5885850178359099E-2</c:v>
                </c:pt>
                <c:pt idx="6">
                  <c:v>1.9817677368212446E-7</c:v>
                </c:pt>
                <c:pt idx="7">
                  <c:v>7.8279825604439159E-3</c:v>
                </c:pt>
                <c:pt idx="8">
                  <c:v>4.8553309552120491E-2</c:v>
                </c:pt>
                <c:pt idx="9">
                  <c:v>1.1157352358303606E-2</c:v>
                </c:pt>
                <c:pt idx="10">
                  <c:v>0.43797066983749505</c:v>
                </c:pt>
                <c:pt idx="11">
                  <c:v>1.4962346413000396</c:v>
                </c:pt>
                <c:pt idx="12">
                  <c:v>0.3388822829964328</c:v>
                </c:pt>
                <c:pt idx="13">
                  <c:v>1.9817677368212446E-7</c:v>
                </c:pt>
                <c:pt idx="14">
                  <c:v>0.77288941736028538</c:v>
                </c:pt>
                <c:pt idx="15">
                  <c:v>1.9817677368212446E-7</c:v>
                </c:pt>
              </c:numCache>
            </c:numRef>
          </c:val>
        </c:ser>
        <c:ser>
          <c:idx val="1"/>
          <c:order val="1"/>
          <c:tx>
            <c:strRef>
              <c:f>'Invnetory Study Results'!$R$63</c:f>
              <c:strCache>
                <c:ptCount val="1"/>
                <c:pt idx="0">
                  <c:v>Best Case (% of Worst Case)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Results'!$P$64:$P$79</c:f>
              <c:strCache>
                <c:ptCount val="16"/>
                <c:pt idx="0">
                  <c:v>ILW SS box production</c:v>
                </c:pt>
                <c:pt idx="1">
                  <c:v>ILW MS box production</c:v>
                </c:pt>
                <c:pt idx="2">
                  <c:v>LLW HHISO production</c:v>
                </c:pt>
                <c:pt idx="3">
                  <c:v>VLLW 210l drum production</c:v>
                </c:pt>
                <c:pt idx="4">
                  <c:v>ILW box transport</c:v>
                </c:pt>
                <c:pt idx="5">
                  <c:v>LLW HHISO transport</c:v>
                </c:pt>
                <c:pt idx="6">
                  <c:v>210l drum transport</c:v>
                </c:pt>
                <c:pt idx="7">
                  <c:v>ILW size reduction</c:v>
                </c:pt>
                <c:pt idx="8">
                  <c:v>LLW size reduction</c:v>
                </c:pt>
                <c:pt idx="9">
                  <c:v>VLLW size reduction</c:v>
                </c:pt>
                <c:pt idx="10">
                  <c:v>ILW grout, cap &amp; shielding</c:v>
                </c:pt>
                <c:pt idx="11">
                  <c:v>LLW grout, cap &amp; shielding</c:v>
                </c:pt>
                <c:pt idx="12">
                  <c:v>VLLW grout, cap &amp; shielding</c:v>
                </c:pt>
                <c:pt idx="13">
                  <c:v>ILW Decontamination</c:v>
                </c:pt>
                <c:pt idx="14">
                  <c:v>LLW Decontamination</c:v>
                </c:pt>
                <c:pt idx="15">
                  <c:v>VLLW Decontamination</c:v>
                </c:pt>
              </c:strCache>
            </c:strRef>
          </c:cat>
          <c:val>
            <c:numRef>
              <c:f>'Invnetory Study Results'!$R$64:$R$79</c:f>
              <c:numCache>
                <c:formatCode>0.00</c:formatCode>
                <c:ptCount val="16"/>
                <c:pt idx="0">
                  <c:v>2.5168450257629806</c:v>
                </c:pt>
                <c:pt idx="1">
                  <c:v>9.4332144272691237E-2</c:v>
                </c:pt>
                <c:pt idx="2">
                  <c:v>2.7942925089179549</c:v>
                </c:pt>
                <c:pt idx="3">
                  <c:v>0.24772096710265556</c:v>
                </c:pt>
                <c:pt idx="4">
                  <c:v>1.7063020214030916E-2</c:v>
                </c:pt>
                <c:pt idx="5">
                  <c:v>4.53824811732065E-2</c:v>
                </c:pt>
                <c:pt idx="6">
                  <c:v>4.0428061831153392E-3</c:v>
                </c:pt>
                <c:pt idx="7">
                  <c:v>7.8279825604439159E-3</c:v>
                </c:pt>
                <c:pt idx="8">
                  <c:v>4.8553309552120491E-2</c:v>
                </c:pt>
                <c:pt idx="9">
                  <c:v>1.1157352358303606E-2</c:v>
                </c:pt>
                <c:pt idx="10">
                  <c:v>0.43797066983749505</c:v>
                </c:pt>
                <c:pt idx="11">
                  <c:v>1.4962346413000396</c:v>
                </c:pt>
                <c:pt idx="12">
                  <c:v>1.9817677368212446E-7</c:v>
                </c:pt>
                <c:pt idx="13">
                  <c:v>1.9817677368212446E-7</c:v>
                </c:pt>
                <c:pt idx="14">
                  <c:v>0.77288941736028538</c:v>
                </c:pt>
                <c:pt idx="15">
                  <c:v>1.9817677368212446E-7</c:v>
                </c:pt>
              </c:numCache>
            </c:numRef>
          </c:val>
        </c:ser>
        <c:axId val="38904960"/>
        <c:axId val="38906880"/>
      </c:barChart>
      <c:catAx>
        <c:axId val="38904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General Process Impacts</a:t>
                </a:r>
              </a:p>
            </c:rich>
          </c:tx>
          <c:layout>
            <c:manualLayout>
              <c:xMode val="edge"/>
              <c:yMode val="edge"/>
              <c:x val="0.44863758924332409"/>
              <c:y val="0.8571411661777571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06880"/>
        <c:crosses val="autoZero"/>
        <c:auto val="1"/>
        <c:lblAlgn val="ctr"/>
        <c:lblOffset val="100"/>
        <c:tickLblSkip val="2"/>
        <c:tickMarkSkip val="1"/>
      </c:catAx>
      <c:valAx>
        <c:axId val="389068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Percentage of Total Worst Case Life Cycle</a:t>
                </a:r>
              </a:p>
            </c:rich>
          </c:tx>
          <c:layout>
            <c:manualLayout>
              <c:xMode val="edge"/>
              <c:yMode val="edge"/>
              <c:x val="2.72539482052798E-2"/>
              <c:y val="3.2967423189748345E-2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0496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9319891714138614"/>
          <c:y val="3.9024483194748466E-2"/>
          <c:w val="0.39115776187075452"/>
          <c:h val="7.804896638949693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 horizontalDpi="300" verticalDpi="300"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6.2370078198617313E-2"/>
          <c:y val="0.27972027972028007"/>
          <c:w val="0.9230771573395371"/>
          <c:h val="0.30769230769230804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Results'!$Q$17</c:f>
              <c:strCache>
                <c:ptCount val="1"/>
                <c:pt idx="0">
                  <c:v>Target Worst Case Disposal (%)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'Invnetory Study Results'!$P$18:$P$25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</c:v>
                </c:pt>
                <c:pt idx="3">
                  <c:v>Drums, 210l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Decay</c:v>
                </c:pt>
              </c:strCache>
            </c:strRef>
          </c:cat>
          <c:val>
            <c:numRef>
              <c:f>'Invnetory Study Results'!$Q$18:$Q$25</c:f>
              <c:numCache>
                <c:formatCode>0.00</c:formatCode>
                <c:ptCount val="8"/>
                <c:pt idx="0">
                  <c:v>12.148236226714229</c:v>
                </c:pt>
                <c:pt idx="1">
                  <c:v>0</c:v>
                </c:pt>
                <c:pt idx="2">
                  <c:v>7.2136345620293305</c:v>
                </c:pt>
                <c:pt idx="3">
                  <c:v>0</c:v>
                </c:pt>
                <c:pt idx="4">
                  <c:v>4.0824415378517633</c:v>
                </c:pt>
                <c:pt idx="5">
                  <c:v>18.489892984542212</c:v>
                </c:pt>
                <c:pt idx="6">
                  <c:v>58.065794688862461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'Invnetory Study Results'!$R$17</c:f>
              <c:strCache>
                <c:ptCount val="1"/>
                <c:pt idx="0">
                  <c:v>Best Case Disposal (% of Worst Case)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Results'!$P$18:$P$25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</c:v>
                </c:pt>
                <c:pt idx="3">
                  <c:v>Drums, 210l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Decay</c:v>
                </c:pt>
              </c:strCache>
            </c:strRef>
          </c:cat>
          <c:val>
            <c:numRef>
              <c:f>'Invnetory Study Results'!$R$18:$R$25</c:f>
              <c:numCache>
                <c:formatCode>0.00</c:formatCode>
                <c:ptCount val="8"/>
                <c:pt idx="0">
                  <c:v>11.038446294094333</c:v>
                </c:pt>
                <c:pt idx="1">
                  <c:v>0.19817677368212444</c:v>
                </c:pt>
                <c:pt idx="2">
                  <c:v>5.866032500990884</c:v>
                </c:pt>
                <c:pt idx="3">
                  <c:v>0.52318668252080858</c:v>
                </c:pt>
                <c:pt idx="4">
                  <c:v>0.27348394768133172</c:v>
                </c:pt>
                <c:pt idx="5">
                  <c:v>18.489892984542212</c:v>
                </c:pt>
                <c:pt idx="6">
                  <c:v>52.913198573127232</c:v>
                </c:pt>
                <c:pt idx="7">
                  <c:v>0.47562425683709864</c:v>
                </c:pt>
              </c:numCache>
            </c:numRef>
          </c:val>
        </c:ser>
        <c:axId val="38953344"/>
        <c:axId val="38955264"/>
      </c:barChart>
      <c:catAx>
        <c:axId val="38953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4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Life Cycle Product Stage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4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(Best Case Impact 89.2% of Worst Case)</a:t>
                </a:r>
              </a:p>
            </c:rich>
          </c:tx>
          <c:layout>
            <c:manualLayout>
              <c:xMode val="edge"/>
              <c:yMode val="edge"/>
              <c:x val="0.44398378514845355"/>
              <c:y val="0.7551011981242929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55264"/>
        <c:crosses val="autoZero"/>
        <c:auto val="1"/>
        <c:lblAlgn val="ctr"/>
        <c:lblOffset val="100"/>
        <c:tickLblSkip val="1"/>
        <c:tickMarkSkip val="1"/>
      </c:catAx>
      <c:valAx>
        <c:axId val="389552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Pescentage of Worst Case Life Cycle</a:t>
                </a:r>
              </a:p>
            </c:rich>
          </c:tx>
          <c:layout>
            <c:manualLayout>
              <c:xMode val="edge"/>
              <c:yMode val="edge"/>
              <c:x val="3.3195097436776851E-2"/>
              <c:y val="0.14965989084000483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5334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454585808403591"/>
          <c:y val="6.6945606694560664E-2"/>
          <c:w val="0.46000040838104439"/>
          <c:h val="0.2092050209205020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98425196850393692" l="0.74803149606299213" r="0.74803149606299213" t="0.98425196850393692" header="0.511811023622047" footer="0.511811023622047"/>
    <c:pageSetup paperSize="9" orientation="landscape" draft="1" horizontalDpi="300" verticalDpi="300"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6.0542751207896303E-2"/>
          <c:y val="0.22727344787898202"/>
          <c:w val="0.92275503565138517"/>
          <c:h val="0.46104042284022101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Results'!$Q$29</c:f>
              <c:strCache>
                <c:ptCount val="1"/>
                <c:pt idx="0">
                  <c:v>Worst Case Disposal (%)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Results'!$P$30:$P$35</c:f>
              <c:strCache>
                <c:ptCount val="6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Lead</c:v>
                </c:pt>
                <c:pt idx="5">
                  <c:v>Zinc</c:v>
                </c:pt>
              </c:strCache>
            </c:strRef>
          </c:cat>
          <c:val>
            <c:numRef>
              <c:f>'Invnetory Study Results'!$Q$30:$Q$35</c:f>
              <c:numCache>
                <c:formatCode>0.00</c:formatCode>
                <c:ptCount val="6"/>
                <c:pt idx="0">
                  <c:v>50.926375012125327</c:v>
                </c:pt>
                <c:pt idx="1">
                  <c:v>25.172179648850516</c:v>
                </c:pt>
                <c:pt idx="2">
                  <c:v>10.039771073818994</c:v>
                </c:pt>
                <c:pt idx="3">
                  <c:v>1.2852847026869725</c:v>
                </c:pt>
                <c:pt idx="4">
                  <c:v>2.5366184886991947</c:v>
                </c:pt>
                <c:pt idx="5">
                  <c:v>10.039771073818994</c:v>
                </c:pt>
              </c:numCache>
            </c:numRef>
          </c:val>
        </c:ser>
        <c:ser>
          <c:idx val="1"/>
          <c:order val="1"/>
          <c:tx>
            <c:strRef>
              <c:f>'Invnetory Study Results'!$R$29</c:f>
              <c:strCache>
                <c:ptCount val="1"/>
                <c:pt idx="0">
                  <c:v>Best Case Disposal (% of Worst Case)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Results'!$P$30:$P$35</c:f>
              <c:strCache>
                <c:ptCount val="6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Lead</c:v>
                </c:pt>
                <c:pt idx="5">
                  <c:v>Zinc</c:v>
                </c:pt>
              </c:strCache>
            </c:strRef>
          </c:cat>
          <c:val>
            <c:numRef>
              <c:f>'Invnetory Study Results'!$R$30:$R$35</c:f>
              <c:numCache>
                <c:formatCode>0.00</c:formatCode>
                <c:ptCount val="6"/>
                <c:pt idx="0">
                  <c:v>3.4047919293820934</c:v>
                </c:pt>
                <c:pt idx="1">
                  <c:v>1.6878455718304395</c:v>
                </c:pt>
                <c:pt idx="2">
                  <c:v>0.6741682025414687</c:v>
                </c:pt>
                <c:pt idx="3">
                  <c:v>8.6332330972936258E-2</c:v>
                </c:pt>
                <c:pt idx="4">
                  <c:v>0.17023959646910466</c:v>
                </c:pt>
                <c:pt idx="5">
                  <c:v>0.6741682025414687</c:v>
                </c:pt>
              </c:numCache>
            </c:numRef>
          </c:val>
        </c:ser>
        <c:axId val="38996608"/>
        <c:axId val="39023360"/>
      </c:barChart>
      <c:catAx>
        <c:axId val="389966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VLLM Metals (Best Case 6.7% of Worst Case)</a:t>
                </a:r>
              </a:p>
            </c:rich>
          </c:tx>
          <c:layout>
            <c:manualLayout>
              <c:xMode val="edge"/>
              <c:yMode val="edge"/>
              <c:x val="0.42499990420905415"/>
              <c:y val="0.8376648622047243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23360"/>
        <c:crosses val="autoZero"/>
        <c:auto val="1"/>
        <c:lblAlgn val="ctr"/>
        <c:lblOffset val="100"/>
        <c:tickLblSkip val="1"/>
        <c:tickMarkSkip val="1"/>
      </c:catAx>
      <c:valAx>
        <c:axId val="390233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Percantage of Worst Case VLLW Disposal </a:t>
                </a:r>
              </a:p>
            </c:rich>
          </c:tx>
          <c:layout>
            <c:manualLayout>
              <c:xMode val="edge"/>
              <c:yMode val="edge"/>
              <c:x val="2.7083357281069791E-2"/>
              <c:y val="0.1558448162729659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9660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8357664233576642"/>
          <c:y val="5.4902171040789829E-2"/>
          <c:w val="0.39416058394160586"/>
          <c:h val="0.1137259257273503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4112221501905338E-2"/>
          <c:y val="0.15503846626986004"/>
          <c:w val="0.89719702935365697"/>
          <c:h val="0.55426251691474993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Results'!$Q$39</c:f>
              <c:strCache>
                <c:ptCount val="1"/>
                <c:pt idx="0">
                  <c:v>Worst Case Disposal (%)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Results'!$P$40:$P$47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Unspecified</c:v>
                </c:pt>
                <c:pt idx="5">
                  <c:v>Lead</c:v>
                </c:pt>
                <c:pt idx="6">
                  <c:v>Nickel</c:v>
                </c:pt>
                <c:pt idx="7">
                  <c:v>Zinc</c:v>
                </c:pt>
              </c:strCache>
            </c:strRef>
          </c:cat>
          <c:val>
            <c:numRef>
              <c:f>'Invnetory Study Results'!$Q$40:$Q$47</c:f>
              <c:numCache>
                <c:formatCode>0.00</c:formatCode>
                <c:ptCount val="8"/>
                <c:pt idx="0">
                  <c:v>48.069055801014564</c:v>
                </c:pt>
                <c:pt idx="1">
                  <c:v>39.205258277423226</c:v>
                </c:pt>
                <c:pt idx="2">
                  <c:v>1.1761577483226968</c:v>
                </c:pt>
                <c:pt idx="3">
                  <c:v>0.39546173566792125</c:v>
                </c:pt>
                <c:pt idx="4">
                  <c:v>7.2614956635575201</c:v>
                </c:pt>
                <c:pt idx="5">
                  <c:v>0.80456008291059833</c:v>
                </c:pt>
                <c:pt idx="6">
                  <c:v>3.0409643811705669</c:v>
                </c:pt>
                <c:pt idx="7">
                  <c:v>4.704630993290787E-2</c:v>
                </c:pt>
              </c:numCache>
            </c:numRef>
          </c:val>
        </c:ser>
        <c:ser>
          <c:idx val="1"/>
          <c:order val="1"/>
          <c:tx>
            <c:strRef>
              <c:f>'Invnetory Study Results'!$R$39</c:f>
              <c:strCache>
                <c:ptCount val="1"/>
                <c:pt idx="0">
                  <c:v>Best Case ILW Disposal Reduction (% Of Worst Case)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Results'!$P$40:$P$47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Unspecified</c:v>
                </c:pt>
                <c:pt idx="5">
                  <c:v>Lead</c:v>
                </c:pt>
                <c:pt idx="6">
                  <c:v>Nickel</c:v>
                </c:pt>
                <c:pt idx="7">
                  <c:v>Zinc</c:v>
                </c:pt>
              </c:strCache>
            </c:strRef>
          </c:cat>
          <c:val>
            <c:numRef>
              <c:f>'Invnetory Study Results'!$R$40:$R$47</c:f>
              <c:numCache>
                <c:formatCode>0.00</c:formatCode>
                <c:ptCount val="8"/>
                <c:pt idx="0">
                  <c:v>43.637157039218891</c:v>
                </c:pt>
                <c:pt idx="1">
                  <c:v>35.79610538373425</c:v>
                </c:pt>
                <c:pt idx="2">
                  <c:v>1.0704740086183386</c:v>
                </c:pt>
                <c:pt idx="3">
                  <c:v>0.36137020673103148</c:v>
                </c:pt>
                <c:pt idx="4">
                  <c:v>6.6137566137566131</c:v>
                </c:pt>
                <c:pt idx="5">
                  <c:v>0.73296787214312986</c:v>
                </c:pt>
                <c:pt idx="6">
                  <c:v>2.7648229967817595</c:v>
                </c:pt>
                <c:pt idx="7">
                  <c:v>4.29553264604811E-2</c:v>
                </c:pt>
              </c:numCache>
            </c:numRef>
          </c:val>
        </c:ser>
        <c:ser>
          <c:idx val="2"/>
          <c:order val="2"/>
          <c:tx>
            <c:strRef>
              <c:f>'Invnetory Study Results'!$S$39</c:f>
              <c:strCache>
                <c:ptCount val="1"/>
                <c:pt idx="0">
                  <c:v>Best Case LLW Disposal Increase (% of Worst Case)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Results'!$P$40:$P$47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Unspecified</c:v>
                </c:pt>
                <c:pt idx="5">
                  <c:v>Lead</c:v>
                </c:pt>
                <c:pt idx="6">
                  <c:v>Nickel</c:v>
                </c:pt>
                <c:pt idx="7">
                  <c:v>Zinc</c:v>
                </c:pt>
              </c:strCache>
            </c:strRef>
          </c:cat>
          <c:val>
            <c:numRef>
              <c:f>'Invnetory Study Results'!$S$40:$S$47</c:f>
              <c:numCache>
                <c:formatCode>0.00</c:formatCode>
                <c:ptCount val="8"/>
                <c:pt idx="0">
                  <c:v>0.39205258277423227</c:v>
                </c:pt>
                <c:pt idx="1">
                  <c:v>0.32114220258550152</c:v>
                </c:pt>
                <c:pt idx="2">
                  <c:v>9.6479026891398024E-3</c:v>
                </c:pt>
                <c:pt idx="3">
                  <c:v>3.252331860579283E-3</c:v>
                </c:pt>
                <c:pt idx="4">
                  <c:v>5.9660175639557084E-2</c:v>
                </c:pt>
                <c:pt idx="5">
                  <c:v>6.6137566137566143E-3</c:v>
                </c:pt>
                <c:pt idx="6">
                  <c:v>2.4920907652866416E-2</c:v>
                </c:pt>
                <c:pt idx="7">
                  <c:v>3.8523427698685433E-4</c:v>
                </c:pt>
              </c:numCache>
            </c:numRef>
          </c:val>
        </c:ser>
        <c:axId val="39045376"/>
        <c:axId val="39129472"/>
      </c:barChart>
      <c:catAx>
        <c:axId val="39045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ILM Metals (Best Case 91.8% of Worst Case)</a:t>
                </a:r>
              </a:p>
            </c:rich>
          </c:tx>
          <c:layout>
            <c:manualLayout>
              <c:xMode val="edge"/>
              <c:yMode val="edge"/>
              <c:x val="0.36448642494026329"/>
              <c:y val="0.8725467271136563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29472"/>
        <c:crosses val="autoZero"/>
        <c:auto val="1"/>
        <c:lblAlgn val="ctr"/>
        <c:lblOffset val="100"/>
        <c:tickLblSkip val="1"/>
        <c:tickMarkSkip val="1"/>
      </c:catAx>
      <c:valAx>
        <c:axId val="391294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Pescentage of Worst Case ILW Disposal</a:t>
                </a:r>
              </a:p>
            </c:rich>
          </c:tx>
          <c:layout>
            <c:manualLayout>
              <c:xMode val="edge"/>
              <c:yMode val="edge"/>
              <c:x val="3.0373922200661783E-2"/>
              <c:y val="9.8038654259126695E-2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4537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073254242199892"/>
          <c:y val="3.7878881290643963E-2"/>
          <c:w val="0.4796757488482693"/>
          <c:h val="6.060621006503034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6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4262224344554224E-2"/>
          <c:y val="0.14345984172072704"/>
          <c:w val="0.88319605853267102"/>
          <c:h val="0.67088573039987032"/>
        </c:manualLayout>
      </c:layout>
      <c:barChart>
        <c:barDir val="col"/>
        <c:grouping val="clustered"/>
        <c:ser>
          <c:idx val="1"/>
          <c:order val="1"/>
          <c:tx>
            <c:strRef>
              <c:f>'General metal graphs'!$D$154</c:f>
              <c:strCache>
                <c:ptCount val="1"/>
                <c:pt idx="0">
                  <c:v>LLW (Including VLLW) (2010 UKRWI)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graphs'!$B$155:$B$165</c:f>
              <c:numCache>
                <c:formatCode>General</c:formatCode>
                <c:ptCount val="11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  <c:pt idx="6">
                  <c:v>2080</c:v>
                </c:pt>
                <c:pt idx="7">
                  <c:v>2090</c:v>
                </c:pt>
                <c:pt idx="8">
                  <c:v>2100</c:v>
                </c:pt>
                <c:pt idx="9">
                  <c:v>2110</c:v>
                </c:pt>
                <c:pt idx="10">
                  <c:v>2120</c:v>
                </c:pt>
              </c:numCache>
            </c:numRef>
          </c:cat>
          <c:val>
            <c:numRef>
              <c:f>'General metal graphs'!$D$155:$D$165</c:f>
              <c:numCache>
                <c:formatCode>General</c:formatCode>
                <c:ptCount val="11"/>
                <c:pt idx="0">
                  <c:v>396100</c:v>
                </c:pt>
                <c:pt idx="1">
                  <c:v>305000</c:v>
                </c:pt>
                <c:pt idx="2">
                  <c:v>220000</c:v>
                </c:pt>
                <c:pt idx="3">
                  <c:v>446500</c:v>
                </c:pt>
                <c:pt idx="4">
                  <c:v>446500</c:v>
                </c:pt>
                <c:pt idx="5">
                  <c:v>372500</c:v>
                </c:pt>
                <c:pt idx="6">
                  <c:v>372500</c:v>
                </c:pt>
                <c:pt idx="7">
                  <c:v>372500</c:v>
                </c:pt>
                <c:pt idx="8">
                  <c:v>372500</c:v>
                </c:pt>
                <c:pt idx="9">
                  <c:v>530000</c:v>
                </c:pt>
                <c:pt idx="10">
                  <c:v>530000</c:v>
                </c:pt>
              </c:numCache>
            </c:numRef>
          </c:val>
        </c:ser>
        <c:axId val="53084160"/>
        <c:axId val="53086464"/>
      </c:barChart>
      <c:lineChart>
        <c:grouping val="standard"/>
        <c:ser>
          <c:idx val="0"/>
          <c:order val="0"/>
          <c:tx>
            <c:strRef>
              <c:f>'General metal graphs'!$C$154</c:f>
              <c:strCache>
                <c:ptCount val="1"/>
                <c:pt idx="0">
                  <c:v>ILW (2010 UKRWI)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numRef>
              <c:f>'General metal graphs'!$B$155:$B$165</c:f>
              <c:numCache>
                <c:formatCode>General</c:formatCode>
                <c:ptCount val="11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  <c:pt idx="6">
                  <c:v>2080</c:v>
                </c:pt>
                <c:pt idx="7">
                  <c:v>2090</c:v>
                </c:pt>
                <c:pt idx="8">
                  <c:v>2100</c:v>
                </c:pt>
                <c:pt idx="9">
                  <c:v>2110</c:v>
                </c:pt>
                <c:pt idx="10">
                  <c:v>2120</c:v>
                </c:pt>
              </c:numCache>
            </c:numRef>
          </c:cat>
          <c:val>
            <c:numRef>
              <c:f>'General metal graphs'!$C$155:$C$165</c:f>
              <c:numCache>
                <c:formatCode>General</c:formatCode>
                <c:ptCount val="11"/>
                <c:pt idx="0">
                  <c:v>19800</c:v>
                </c:pt>
                <c:pt idx="1">
                  <c:v>17400</c:v>
                </c:pt>
                <c:pt idx="2">
                  <c:v>21600</c:v>
                </c:pt>
                <c:pt idx="3">
                  <c:v>20250</c:v>
                </c:pt>
                <c:pt idx="4">
                  <c:v>20250</c:v>
                </c:pt>
                <c:pt idx="5">
                  <c:v>16300</c:v>
                </c:pt>
                <c:pt idx="6">
                  <c:v>16300</c:v>
                </c:pt>
                <c:pt idx="7">
                  <c:v>16300</c:v>
                </c:pt>
                <c:pt idx="8">
                  <c:v>16300</c:v>
                </c:pt>
                <c:pt idx="9">
                  <c:v>13900</c:v>
                </c:pt>
                <c:pt idx="10">
                  <c:v>13900</c:v>
                </c:pt>
              </c:numCache>
            </c:numRef>
          </c:val>
        </c:ser>
        <c:marker val="1"/>
        <c:axId val="53084160"/>
        <c:axId val="53086464"/>
      </c:lineChart>
      <c:catAx>
        <c:axId val="530841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Decades</a:t>
                </a:r>
              </a:p>
            </c:rich>
          </c:tx>
          <c:layout>
            <c:manualLayout>
              <c:xMode val="edge"/>
              <c:yMode val="edge"/>
              <c:x val="0.50639878875900002"/>
              <c:y val="0.9104477658855517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086464"/>
        <c:crosses val="autoZero"/>
        <c:auto val="1"/>
        <c:lblAlgn val="ctr"/>
        <c:lblOffset val="100"/>
        <c:tickLblSkip val="1"/>
        <c:tickMarkSkip val="1"/>
      </c:catAx>
      <c:valAx>
        <c:axId val="530864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Waste Volume (m3)</a:t>
                </a:r>
              </a:p>
            </c:rich>
          </c:tx>
          <c:layout>
            <c:manualLayout>
              <c:xMode val="edge"/>
              <c:yMode val="edge"/>
              <c:x val="2.9250520900077362E-2"/>
              <c:y val="0.3641790434878274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08416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672629695885511"/>
          <c:y val="2.3506456241032998E-2"/>
          <c:w val="0.32737030411449014"/>
          <c:h val="4.701291248206599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4907461043441804E-2"/>
          <c:y val="0.175531914893617"/>
          <c:w val="0.88657457511312698"/>
          <c:h val="0.37234042553191504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Results'!$Q$51</c:f>
              <c:strCache>
                <c:ptCount val="1"/>
                <c:pt idx="0">
                  <c:v>Worst Case Disposal (%)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Results'!$P$52:$P$59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Unspecified</c:v>
                </c:pt>
                <c:pt idx="5">
                  <c:v>Lead</c:v>
                </c:pt>
                <c:pt idx="6">
                  <c:v>Nickel</c:v>
                </c:pt>
                <c:pt idx="7">
                  <c:v>Zinc</c:v>
                </c:pt>
              </c:strCache>
            </c:strRef>
          </c:cat>
          <c:val>
            <c:numRef>
              <c:f>'Invnetory Study Results'!$Q$52:$Q$59</c:f>
              <c:numCache>
                <c:formatCode>0.00</c:formatCode>
                <c:ptCount val="8"/>
                <c:pt idx="0">
                  <c:v>55.171105100076687</c:v>
                </c:pt>
                <c:pt idx="1">
                  <c:v>15.295046811979862</c:v>
                </c:pt>
                <c:pt idx="2">
                  <c:v>2.1268988128548676</c:v>
                </c:pt>
                <c:pt idx="3">
                  <c:v>0.74059301909816333</c:v>
                </c:pt>
                <c:pt idx="4">
                  <c:v>22.490132015317887</c:v>
                </c:pt>
                <c:pt idx="5">
                  <c:v>1.3098744857358973</c:v>
                </c:pt>
                <c:pt idx="6">
                  <c:v>1.0015136913071248</c:v>
                </c:pt>
                <c:pt idx="7">
                  <c:v>1.8648360636295034</c:v>
                </c:pt>
              </c:numCache>
            </c:numRef>
          </c:val>
        </c:ser>
        <c:ser>
          <c:idx val="1"/>
          <c:order val="1"/>
          <c:tx>
            <c:strRef>
              <c:f>'Invnetory Study Results'!$R$51</c:f>
              <c:strCache>
                <c:ptCount val="1"/>
                <c:pt idx="0">
                  <c:v>Best Case Disposal (% of Worst Case)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Results'!$P$52:$P$59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Unspecified</c:v>
                </c:pt>
                <c:pt idx="5">
                  <c:v>Lead</c:v>
                </c:pt>
                <c:pt idx="6">
                  <c:v>Nickel</c:v>
                </c:pt>
                <c:pt idx="7">
                  <c:v>Zinc</c:v>
                </c:pt>
              </c:strCache>
            </c:strRef>
          </c:cat>
          <c:val>
            <c:numRef>
              <c:f>'Invnetory Study Results'!$R$52:$R$59</c:f>
              <c:numCache>
                <c:formatCode>0.00</c:formatCode>
                <c:ptCount val="8"/>
                <c:pt idx="0">
                  <c:v>46.563358479526514</c:v>
                </c:pt>
                <c:pt idx="1">
                  <c:v>11.041249186270125</c:v>
                </c:pt>
                <c:pt idx="2">
                  <c:v>0.43047518310569394</c:v>
                </c:pt>
                <c:pt idx="3">
                  <c:v>0.52342268182524998</c:v>
                </c:pt>
                <c:pt idx="4">
                  <c:v>22.490132015317887</c:v>
                </c:pt>
                <c:pt idx="5">
                  <c:v>0.87790581730106121</c:v>
                </c:pt>
                <c:pt idx="6">
                  <c:v>1.0015136913071248</c:v>
                </c:pt>
                <c:pt idx="7">
                  <c:v>0.16841243388032967</c:v>
                </c:pt>
              </c:numCache>
            </c:numRef>
          </c:val>
        </c:ser>
        <c:axId val="39171200"/>
        <c:axId val="39173120"/>
      </c:barChart>
      <c:catAx>
        <c:axId val="391712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Net LLW Plus VLLW Metals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(Best Case 83.1% of Worst Case) </a:t>
                </a:r>
              </a:p>
            </c:rich>
          </c:tx>
          <c:layout>
            <c:manualLayout>
              <c:xMode val="edge"/>
              <c:yMode val="edge"/>
              <c:x val="0.41435193840206597"/>
              <c:y val="0.8095249069476071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73120"/>
        <c:crosses val="autoZero"/>
        <c:auto val="1"/>
        <c:lblAlgn val="ctr"/>
        <c:lblOffset val="100"/>
        <c:tickLblSkip val="1"/>
        <c:tickMarkSkip val="1"/>
      </c:catAx>
      <c:valAx>
        <c:axId val="391731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Worst Case Net LLW + VLLW Disposal)</a:t>
                </a:r>
              </a:p>
            </c:rich>
          </c:tx>
          <c:layout>
            <c:manualLayout>
              <c:xMode val="edge"/>
              <c:yMode val="edge"/>
              <c:x val="3.0092576456111998E-2"/>
              <c:y val="4.7619047619047616E-2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7120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2313883299798791"/>
          <c:y val="3.1358885017421602E-2"/>
          <c:w val="0.28370221327967809"/>
          <c:h val="7.317073170731706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 horizontalDpi="300" verticalDpi="300"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3422556461879398"/>
          <c:y val="0.15422884639420104"/>
          <c:w val="0.84971002876137502"/>
          <c:h val="0.45051524809398796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Results'!$V$2</c:f>
              <c:strCache>
                <c:ptCount val="1"/>
                <c:pt idx="0">
                  <c:v>Worst Case Impact (%)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'Invnetory Study Results'!$U$3:$U$13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Results'!$V$3:$V$13</c:f>
              <c:numCache>
                <c:formatCode>0.00</c:formatCode>
                <c:ptCount val="11"/>
                <c:pt idx="0">
                  <c:v>5.491810810987829</c:v>
                </c:pt>
                <c:pt idx="1">
                  <c:v>3.4673630237787273E-2</c:v>
                </c:pt>
                <c:pt idx="2">
                  <c:v>41.322551891856378</c:v>
                </c:pt>
                <c:pt idx="3">
                  <c:v>9.7173493786036911</c:v>
                </c:pt>
                <c:pt idx="4">
                  <c:v>0.18638812911451647</c:v>
                </c:pt>
                <c:pt idx="5">
                  <c:v>6.2122760529063625E-3</c:v>
                </c:pt>
                <c:pt idx="6">
                  <c:v>5.9145631430226713</c:v>
                </c:pt>
                <c:pt idx="7">
                  <c:v>1.287310622337082</c:v>
                </c:pt>
                <c:pt idx="8">
                  <c:v>1.2067296613952296</c:v>
                </c:pt>
                <c:pt idx="9">
                  <c:v>8.2565713674410439</c:v>
                </c:pt>
                <c:pt idx="10">
                  <c:v>26.575839088950858</c:v>
                </c:pt>
              </c:numCache>
            </c:numRef>
          </c:val>
        </c:ser>
        <c:ser>
          <c:idx val="1"/>
          <c:order val="1"/>
          <c:tx>
            <c:strRef>
              <c:f>'Invnetory Study Results'!$W$2</c:f>
              <c:strCache>
                <c:ptCount val="1"/>
                <c:pt idx="0">
                  <c:v>Best Case Impact (% of Worst Case)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Results'!$U$3:$U$13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Results'!$W$3:$W$13</c:f>
              <c:numCache>
                <c:formatCode>0.00</c:formatCode>
                <c:ptCount val="11"/>
                <c:pt idx="0">
                  <c:v>4.9221867767436995</c:v>
                </c:pt>
                <c:pt idx="1">
                  <c:v>3.07835148819737E-2</c:v>
                </c:pt>
                <c:pt idx="2">
                  <c:v>37.015638462205644</c:v>
                </c:pt>
                <c:pt idx="3">
                  <c:v>8.6376438920921697</c:v>
                </c:pt>
                <c:pt idx="4">
                  <c:v>0.16604441360579753</c:v>
                </c:pt>
                <c:pt idx="5">
                  <c:v>5.6089112222087473E-3</c:v>
                </c:pt>
                <c:pt idx="6">
                  <c:v>5.2794422686041287</c:v>
                </c:pt>
                <c:pt idx="7">
                  <c:v>1.148576406331282</c:v>
                </c:pt>
                <c:pt idx="8">
                  <c:v>1.23927960620918</c:v>
                </c:pt>
                <c:pt idx="9">
                  <c:v>7.4031276924411289</c:v>
                </c:pt>
                <c:pt idx="10">
                  <c:v>23.955965481974378</c:v>
                </c:pt>
              </c:numCache>
            </c:numRef>
          </c:val>
        </c:ser>
        <c:axId val="39239680"/>
        <c:axId val="39241600"/>
      </c:barChart>
      <c:catAx>
        <c:axId val="39239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 (Best Case 89.2% of Worst Case)</a:t>
                </a:r>
              </a:p>
            </c:rich>
          </c:tx>
          <c:layout>
            <c:manualLayout>
              <c:xMode val="edge"/>
              <c:yMode val="edge"/>
              <c:x val="0.35341343577727524"/>
              <c:y val="0.8943087242299840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241600"/>
        <c:crosses val="autoZero"/>
        <c:auto val="1"/>
        <c:lblAlgn val="ctr"/>
        <c:lblOffset val="100"/>
        <c:tickLblSkip val="1"/>
        <c:tickMarkSkip val="1"/>
      </c:catAx>
      <c:valAx>
        <c:axId val="392416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Worst Case Life </a:t>
                </a:r>
              </a:p>
            </c:rich>
          </c:tx>
          <c:layout>
            <c:manualLayout>
              <c:xMode val="edge"/>
              <c:yMode val="edge"/>
              <c:x val="2.6104678091709126E-2"/>
              <c:y val="0.10162610015628389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23968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953249357913843"/>
          <c:y val="3.1339118531646552E-2"/>
          <c:w val="0.35875246996898524"/>
          <c:h val="5.698021551208464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 horizontalDpi="300" verticalDpi="300"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Worst Case Package Impacts (%)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(19.4% of Net Worst Case Impact)</a:t>
            </a:r>
          </a:p>
        </c:rich>
      </c:tx>
      <c:layout>
        <c:manualLayout>
          <c:xMode val="edge"/>
          <c:yMode val="edge"/>
          <c:x val="0.35087709688462859"/>
          <c:y val="3.883500769300388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2796756518046416"/>
          <c:y val="0.63768191151720011"/>
          <c:w val="8.8531121889204936E-2"/>
          <c:h val="0.21256063717240006"/>
        </c:manualLayout>
      </c:layout>
      <c:pieChart>
        <c:varyColors val="1"/>
        <c:ser>
          <c:idx val="0"/>
          <c:order val="0"/>
          <c:tx>
            <c:strRef>
              <c:f>'Invnetory Study Results'!$Q$2</c:f>
              <c:strCache>
                <c:ptCount val="1"/>
                <c:pt idx="0">
                  <c:v>Empty Package Impacts Worst Case (%)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EF383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9D56A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AEB2B1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  <c:showLeaderLines val="1"/>
          </c:dLbls>
          <c:cat>
            <c:strRef>
              <c:f>'Invnetory Study Results'!$P$3:$P$13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Results'!$Q$3:$Q$13</c:f>
              <c:numCache>
                <c:formatCode>0.00</c:formatCode>
                <c:ptCount val="11"/>
                <c:pt idx="0">
                  <c:v>0.490233924941812</c:v>
                </c:pt>
                <c:pt idx="1">
                  <c:v>3.5130123366275598E-3</c:v>
                </c:pt>
                <c:pt idx="2">
                  <c:v>8.3756565313945206</c:v>
                </c:pt>
                <c:pt idx="3">
                  <c:v>1.2226076832556931</c:v>
                </c:pt>
                <c:pt idx="4">
                  <c:v>1.014208646337109E-2</c:v>
                </c:pt>
                <c:pt idx="5">
                  <c:v>3.1756043720927095E-4</c:v>
                </c:pt>
                <c:pt idx="6">
                  <c:v>2.6992637162788031</c:v>
                </c:pt>
                <c:pt idx="7">
                  <c:v>0.13218453198835903</c:v>
                </c:pt>
                <c:pt idx="8">
                  <c:v>0.1468717022092878</c:v>
                </c:pt>
                <c:pt idx="9">
                  <c:v>3.4931648093019803</c:v>
                </c:pt>
                <c:pt idx="10">
                  <c:v>2.758806298255541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82608695652171"/>
          <c:y val="0.47750945729728267"/>
          <c:w val="0.13739130434782609"/>
          <c:h val="0.5121115918840423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 horizontalDpi="300" verticalDpi="300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6.8093449900301209E-2"/>
          <c:y val="0.17194598628280905"/>
          <c:w val="0.91634328294405398"/>
          <c:h val="0.68325905075537308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Results'!$Q$81</c:f>
              <c:strCache>
                <c:ptCount val="1"/>
                <c:pt idx="0">
                  <c:v>Target Worst Case LAW (% )</c:v>
                </c:pt>
              </c:strCache>
            </c:strRef>
          </c:tx>
          <c:spPr>
            <a:pattFill prst="wdUpDiag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'Invnetory Study Results'!$P$82:$P$89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Unspecified</c:v>
                </c:pt>
                <c:pt idx="5">
                  <c:v>Lead</c:v>
                </c:pt>
                <c:pt idx="6">
                  <c:v>Nickel</c:v>
                </c:pt>
                <c:pt idx="7">
                  <c:v>Zinc</c:v>
                </c:pt>
              </c:strCache>
            </c:strRef>
          </c:cat>
          <c:val>
            <c:numRef>
              <c:f>'Invnetory Study Results'!$Q$82:$Q$89</c:f>
              <c:numCache>
                <c:formatCode>0.00</c:formatCode>
                <c:ptCount val="8"/>
                <c:pt idx="0">
                  <c:v>12.435643564356436</c:v>
                </c:pt>
                <c:pt idx="1">
                  <c:v>3.4455445544554459</c:v>
                </c:pt>
                <c:pt idx="2">
                  <c:v>0.47920792079207919</c:v>
                </c:pt>
                <c:pt idx="3">
                  <c:v>0.16732673267326734</c:v>
                </c:pt>
                <c:pt idx="4">
                  <c:v>5.0693069306930694</c:v>
                </c:pt>
                <c:pt idx="5">
                  <c:v>0.29504950495049503</c:v>
                </c:pt>
                <c:pt idx="6">
                  <c:v>0.22574257425742572</c:v>
                </c:pt>
                <c:pt idx="7">
                  <c:v>0.41980198019801984</c:v>
                </c:pt>
              </c:numCache>
            </c:numRef>
          </c:val>
        </c:ser>
        <c:ser>
          <c:idx val="1"/>
          <c:order val="1"/>
          <c:tx>
            <c:strRef>
              <c:f>'Invnetory Study Results'!$R$81</c:f>
              <c:strCache>
                <c:ptCount val="1"/>
                <c:pt idx="0">
                  <c:v>Best Case LAW (% of Worst Case)</c:v>
                </c:pt>
              </c:strCache>
            </c:strRef>
          </c:tx>
          <c:spPr>
            <a:pattFill prst="wdDnDiag">
              <a:fgClr>
                <a:srgbClr val="FFCC99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Results'!$P$82:$P$89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Unspecified</c:v>
                </c:pt>
                <c:pt idx="5">
                  <c:v>Lead</c:v>
                </c:pt>
                <c:pt idx="6">
                  <c:v>Nickel</c:v>
                </c:pt>
                <c:pt idx="7">
                  <c:v>Zinc</c:v>
                </c:pt>
              </c:strCache>
            </c:strRef>
          </c:cat>
          <c:val>
            <c:numRef>
              <c:f>'Invnetory Study Results'!$R$82:$R$89</c:f>
              <c:numCache>
                <c:formatCode>0.00</c:formatCode>
                <c:ptCount val="8"/>
                <c:pt idx="0">
                  <c:v>10.732673267326733</c:v>
                </c:pt>
                <c:pt idx="1">
                  <c:v>2.6732673267326734</c:v>
                </c:pt>
                <c:pt idx="2">
                  <c:v>0.10257425742574257</c:v>
                </c:pt>
                <c:pt idx="3">
                  <c:v>0.12</c:v>
                </c:pt>
                <c:pt idx="4">
                  <c:v>5.108910891089109</c:v>
                </c:pt>
                <c:pt idx="5">
                  <c:v>0.20198019801980199</c:v>
                </c:pt>
                <c:pt idx="6">
                  <c:v>0.23960396039603959</c:v>
                </c:pt>
                <c:pt idx="7">
                  <c:v>3.8217821782178217E-2</c:v>
                </c:pt>
              </c:numCache>
            </c:numRef>
          </c:val>
        </c:ser>
        <c:ser>
          <c:idx val="2"/>
          <c:order val="2"/>
          <c:tx>
            <c:strRef>
              <c:f>'Invnetory Study Results'!$S$81</c:f>
              <c:strCache>
                <c:ptCount val="1"/>
                <c:pt idx="0">
                  <c:v>Target Worst Case ILW (%)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'Invnetory Study Results'!$P$82:$P$89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Unspecified</c:v>
                </c:pt>
                <c:pt idx="5">
                  <c:v>Lead</c:v>
                </c:pt>
                <c:pt idx="6">
                  <c:v>Nickel</c:v>
                </c:pt>
                <c:pt idx="7">
                  <c:v>Zinc</c:v>
                </c:pt>
              </c:strCache>
            </c:strRef>
          </c:cat>
          <c:val>
            <c:numRef>
              <c:f>'Invnetory Study Results'!$S$82:$S$89</c:f>
              <c:numCache>
                <c:formatCode>0.00</c:formatCode>
                <c:ptCount val="8"/>
                <c:pt idx="0">
                  <c:v>27.920792079207924</c:v>
                </c:pt>
                <c:pt idx="1">
                  <c:v>22.772277227722775</c:v>
                </c:pt>
                <c:pt idx="2">
                  <c:v>0.68316831683168322</c:v>
                </c:pt>
                <c:pt idx="3">
                  <c:v>0.22970297029702968</c:v>
                </c:pt>
                <c:pt idx="4">
                  <c:v>4.217821782178218</c:v>
                </c:pt>
                <c:pt idx="5">
                  <c:v>0.4673267326732673</c:v>
                </c:pt>
                <c:pt idx="6">
                  <c:v>1.7663366336633661</c:v>
                </c:pt>
                <c:pt idx="7">
                  <c:v>2.7326732673267323E-2</c:v>
                </c:pt>
              </c:numCache>
            </c:numRef>
          </c:val>
        </c:ser>
        <c:ser>
          <c:idx val="3"/>
          <c:order val="3"/>
          <c:tx>
            <c:strRef>
              <c:f>'Invnetory Study Results'!$T$81</c:f>
              <c:strCache>
                <c:ptCount val="1"/>
                <c:pt idx="0">
                  <c:v>Best Case ILW (% of Worst Case)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Results'!$P$82:$P$89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Aluminium</c:v>
                </c:pt>
                <c:pt idx="3">
                  <c:v>Copper</c:v>
                </c:pt>
                <c:pt idx="4">
                  <c:v>Unspecified</c:v>
                </c:pt>
                <c:pt idx="5">
                  <c:v>Lead</c:v>
                </c:pt>
                <c:pt idx="6">
                  <c:v>Nickel</c:v>
                </c:pt>
                <c:pt idx="7">
                  <c:v>Zinc</c:v>
                </c:pt>
              </c:strCache>
            </c:strRef>
          </c:cat>
          <c:val>
            <c:numRef>
              <c:f>'Invnetory Study Results'!$T$82:$T$89</c:f>
              <c:numCache>
                <c:formatCode>0.00</c:formatCode>
                <c:ptCount val="8"/>
                <c:pt idx="0">
                  <c:v>25.346534653465348</c:v>
                </c:pt>
                <c:pt idx="1">
                  <c:v>20.792079207920793</c:v>
                </c:pt>
                <c:pt idx="2">
                  <c:v>0.62178217821782178</c:v>
                </c:pt>
                <c:pt idx="3">
                  <c:v>0.20990099009900992</c:v>
                </c:pt>
                <c:pt idx="4">
                  <c:v>3.8415841584158414</c:v>
                </c:pt>
                <c:pt idx="5">
                  <c:v>0.42574257425742579</c:v>
                </c:pt>
                <c:pt idx="6">
                  <c:v>1.605940594059406</c:v>
                </c:pt>
                <c:pt idx="7">
                  <c:v>2.4950495049504952E-2</c:v>
                </c:pt>
              </c:numCache>
            </c:numRef>
          </c:val>
        </c:ser>
        <c:axId val="39329152"/>
        <c:axId val="39360000"/>
      </c:barChart>
      <c:catAx>
        <c:axId val="393291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Disposal of Metals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iral "/>
                  </a:rPr>
                  <a:t>Worst Case LAW ~23% of Net Worst Case Life Cycle, Worst Case ILW ~58%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24461818743245331"/>
              <c:y val="0.8254735530939988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360000"/>
        <c:crosses val="autoZero"/>
        <c:auto val="1"/>
        <c:lblAlgn val="ctr"/>
        <c:lblOffset val="100"/>
        <c:tickLblSkip val="1"/>
        <c:tickMarkSkip val="1"/>
      </c:catAx>
      <c:valAx>
        <c:axId val="393600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Percentage of Worst Case Life Cycle</a:t>
                </a:r>
              </a:p>
            </c:rich>
          </c:tx>
          <c:layout>
            <c:manualLayout>
              <c:xMode val="edge"/>
              <c:yMode val="edge"/>
              <c:x val="2.5440525816625863E-2"/>
              <c:y val="9.4339605854352956E-2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32915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562354604565519"/>
          <c:y val="5.6497330997668932E-2"/>
          <c:w val="0.50000082202365781"/>
          <c:h val="0.1468930605939392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Worst Case Disposal (%)</a:t>
            </a:r>
          </a:p>
        </c:rich>
      </c:tx>
      <c:layout>
        <c:manualLayout>
          <c:xMode val="edge"/>
          <c:yMode val="edge"/>
          <c:x val="0.3850261417322835"/>
          <c:y val="5.60753704913523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2113805202673795"/>
          <c:y val="0.62037177275881816"/>
          <c:w val="4.4715424965748415E-2"/>
          <c:h val="0.10185208209473098"/>
        </c:manualLayout>
      </c:layout>
      <c:pieChart>
        <c:varyColors val="1"/>
        <c:ser>
          <c:idx val="0"/>
          <c:order val="0"/>
          <c:tx>
            <c:strRef>
              <c:f>'Invnetory Study Results'!$Q$17</c:f>
              <c:strCache>
                <c:ptCount val="1"/>
                <c:pt idx="0">
                  <c:v>Target Worst Case Disposal (%)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FFB14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EF383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9D56A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AEB2B1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  <c:showLeaderLines val="1"/>
          </c:dLbls>
          <c:cat>
            <c:strRef>
              <c:f>'Invnetory Study Results'!$P$18:$P$25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</c:v>
                </c:pt>
                <c:pt idx="3">
                  <c:v>Drums, 210l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Decay</c:v>
                </c:pt>
              </c:strCache>
            </c:strRef>
          </c:cat>
          <c:val>
            <c:numRef>
              <c:f>'Invnetory Study Results'!$Q$18:$Q$25</c:f>
              <c:numCache>
                <c:formatCode>0.00</c:formatCode>
                <c:ptCount val="8"/>
                <c:pt idx="0">
                  <c:v>12.148236226714229</c:v>
                </c:pt>
                <c:pt idx="1">
                  <c:v>0</c:v>
                </c:pt>
                <c:pt idx="2">
                  <c:v>7.2136345620293305</c:v>
                </c:pt>
                <c:pt idx="3">
                  <c:v>0</c:v>
                </c:pt>
                <c:pt idx="4">
                  <c:v>4.0824415378517633</c:v>
                </c:pt>
                <c:pt idx="5">
                  <c:v>18.489892984542212</c:v>
                </c:pt>
                <c:pt idx="6">
                  <c:v>58.065794688862461</c:v>
                </c:pt>
                <c:pt idx="7">
                  <c:v>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2520293963254587"/>
          <c:y val="0.29629680569404809"/>
          <c:w val="0.95121910761154849"/>
          <c:h val="0.9814833407832754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3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2857118941332"/>
          <c:y val="0.18269273656460502"/>
          <c:w val="0.88190455684882907"/>
          <c:h val="0.32692384437876609"/>
        </c:manualLayout>
      </c:layout>
      <c:barChart>
        <c:barDir val="col"/>
        <c:grouping val="stacked"/>
        <c:ser>
          <c:idx val="0"/>
          <c:order val="0"/>
          <c:tx>
            <c:strRef>
              <c:f>'Invnetory Study Results'!$T$63</c:f>
              <c:strCache>
                <c:ptCount val="1"/>
                <c:pt idx="0">
                  <c:v>Target Worst Case (%)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Results'!$S$64:$S$75</c:f>
              <c:strCache>
                <c:ptCount val="12"/>
                <c:pt idx="0">
                  <c:v>ILW Package Production</c:v>
                </c:pt>
                <c:pt idx="1">
                  <c:v>LAW Package Production</c:v>
                </c:pt>
                <c:pt idx="2">
                  <c:v>ILW Package Transport</c:v>
                </c:pt>
                <c:pt idx="3">
                  <c:v>LAW Package Transport</c:v>
                </c:pt>
                <c:pt idx="4">
                  <c:v>ILW Size Reduction</c:v>
                </c:pt>
                <c:pt idx="5">
                  <c:v>LAW Size Reduction</c:v>
                </c:pt>
                <c:pt idx="6">
                  <c:v>ILW Decontamination</c:v>
                </c:pt>
                <c:pt idx="7">
                  <c:v>LAW Decontamination</c:v>
                </c:pt>
                <c:pt idx="8">
                  <c:v>ILW Grouting etc</c:v>
                </c:pt>
                <c:pt idx="9">
                  <c:v>LAW Grouting etc</c:v>
                </c:pt>
                <c:pt idx="10">
                  <c:v>LAW Transport</c:v>
                </c:pt>
                <c:pt idx="11">
                  <c:v>ILW Transport</c:v>
                </c:pt>
              </c:strCache>
            </c:strRef>
          </c:cat>
          <c:val>
            <c:numRef>
              <c:f>'Invnetory Study Results'!$T$64:$T$75</c:f>
              <c:numCache>
                <c:formatCode>0.000</c:formatCode>
                <c:ptCount val="12"/>
                <c:pt idx="0">
                  <c:v>2.7744750297265162</c:v>
                </c:pt>
                <c:pt idx="1">
                  <c:v>3.4284583828775266</c:v>
                </c:pt>
                <c:pt idx="2">
                  <c:v>1.7063020214030916E-2</c:v>
                </c:pt>
                <c:pt idx="3">
                  <c:v>5.5886048355132778E-2</c:v>
                </c:pt>
                <c:pt idx="4">
                  <c:v>7.8279825604439159E-3</c:v>
                </c:pt>
                <c:pt idx="5">
                  <c:v>5.9710661910424095E-2</c:v>
                </c:pt>
                <c:pt idx="6">
                  <c:v>1.9817677368212446E-7</c:v>
                </c:pt>
                <c:pt idx="7">
                  <c:v>0.77288961553705904</c:v>
                </c:pt>
                <c:pt idx="8">
                  <c:v>0.43797066983749505</c:v>
                </c:pt>
                <c:pt idx="9">
                  <c:v>1.8351169242964724</c:v>
                </c:pt>
                <c:pt idx="10" formatCode="0.00">
                  <c:v>0.4</c:v>
                </c:pt>
                <c:pt idx="11" formatCode="0.00">
                  <c:v>0.03</c:v>
                </c:pt>
              </c:numCache>
            </c:numRef>
          </c:val>
        </c:ser>
        <c:ser>
          <c:idx val="1"/>
          <c:order val="1"/>
          <c:tx>
            <c:strRef>
              <c:f>'Invnetory Study Results'!$U$63</c:f>
              <c:strCache>
                <c:ptCount val="1"/>
                <c:pt idx="0">
                  <c:v>Best Case (% of Worst Case)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Results'!$S$64:$S$75</c:f>
              <c:strCache>
                <c:ptCount val="12"/>
                <c:pt idx="0">
                  <c:v>ILW Package Production</c:v>
                </c:pt>
                <c:pt idx="1">
                  <c:v>LAW Package Production</c:v>
                </c:pt>
                <c:pt idx="2">
                  <c:v>ILW Package Transport</c:v>
                </c:pt>
                <c:pt idx="3">
                  <c:v>LAW Package Transport</c:v>
                </c:pt>
                <c:pt idx="4">
                  <c:v>ILW Size Reduction</c:v>
                </c:pt>
                <c:pt idx="5">
                  <c:v>LAW Size Reduction</c:v>
                </c:pt>
                <c:pt idx="6">
                  <c:v>ILW Decontamination</c:v>
                </c:pt>
                <c:pt idx="7">
                  <c:v>LAW Decontamination</c:v>
                </c:pt>
                <c:pt idx="8">
                  <c:v>ILW Grouting etc</c:v>
                </c:pt>
                <c:pt idx="9">
                  <c:v>LAW Grouting etc</c:v>
                </c:pt>
                <c:pt idx="10">
                  <c:v>LAW Transport</c:v>
                </c:pt>
                <c:pt idx="11">
                  <c:v>ILW Transport</c:v>
                </c:pt>
              </c:strCache>
            </c:strRef>
          </c:cat>
          <c:val>
            <c:numRef>
              <c:f>'Invnetory Study Results'!$U$64:$U$75</c:f>
              <c:numCache>
                <c:formatCode>0.000</c:formatCode>
                <c:ptCount val="12"/>
                <c:pt idx="0">
                  <c:v>2.6111771700356718</c:v>
                </c:pt>
                <c:pt idx="1">
                  <c:v>3.0420134760206103</c:v>
                </c:pt>
                <c:pt idx="2">
                  <c:v>1.7063020214030916E-2</c:v>
                </c:pt>
                <c:pt idx="3">
                  <c:v>4.9425287356321838E-2</c:v>
                </c:pt>
                <c:pt idx="4">
                  <c:v>7.8279825604439159E-3</c:v>
                </c:pt>
                <c:pt idx="5">
                  <c:v>5.9710661910424095E-2</c:v>
                </c:pt>
                <c:pt idx="6" formatCode="0.00">
                  <c:v>0</c:v>
                </c:pt>
                <c:pt idx="7">
                  <c:v>0.77288961553705904</c:v>
                </c:pt>
                <c:pt idx="8">
                  <c:v>0.43797066983749505</c:v>
                </c:pt>
                <c:pt idx="9">
                  <c:v>1.4962348394768132</c:v>
                </c:pt>
                <c:pt idx="10" formatCode="0.00">
                  <c:v>0.4</c:v>
                </c:pt>
                <c:pt idx="11" formatCode="0.00">
                  <c:v>0.03</c:v>
                </c:pt>
              </c:numCache>
            </c:numRef>
          </c:val>
        </c:ser>
        <c:overlap val="100"/>
        <c:axId val="39424000"/>
        <c:axId val="39425920"/>
      </c:barChart>
      <c:catAx>
        <c:axId val="394240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General Process Impacts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(Target Worst Case ~9.8% of impact, Best Case ~8.9% of impact)</a:t>
                </a:r>
              </a:p>
            </c:rich>
          </c:tx>
          <c:layout>
            <c:manualLayout>
              <c:xMode val="edge"/>
              <c:yMode val="edge"/>
              <c:x val="0.40380937332666189"/>
              <c:y val="0.8461550722001333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425920"/>
        <c:crosses val="autoZero"/>
        <c:auto val="1"/>
        <c:lblAlgn val="ctr"/>
        <c:lblOffset val="100"/>
        <c:tickLblSkip val="1"/>
        <c:tickMarkSkip val="1"/>
      </c:catAx>
      <c:valAx>
        <c:axId val="394259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Percentage of Worst Case Life Cycle</a:t>
                </a:r>
              </a:p>
            </c:rich>
          </c:tx>
          <c:layout>
            <c:manualLayout>
              <c:xMode val="edge"/>
              <c:yMode val="edge"/>
              <c:x val="2.4761980003335703E-2"/>
              <c:y val="2.5641398785547845E-2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42400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501672240802675"/>
          <c:y val="4.6204620462046202E-2"/>
          <c:w val="0.37458193979933108"/>
          <c:h val="6.930693069306931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5.9566826379103502E-2"/>
          <c:y val="0.15044280291327403"/>
          <c:w val="0.92599339189333596"/>
          <c:h val="0.57079769340624409"/>
        </c:manualLayout>
      </c:layout>
      <c:barChart>
        <c:barDir val="col"/>
        <c:grouping val="clustered"/>
        <c:ser>
          <c:idx val="0"/>
          <c:order val="2"/>
          <c:tx>
            <c:strRef>
              <c:f>'Invnetory Study Results'!$Q$2</c:f>
              <c:strCache>
                <c:ptCount val="1"/>
                <c:pt idx="0">
                  <c:v>Empty Package Impacts Worst Case (%)</c:v>
                </c:pt>
              </c:strCache>
            </c:strRef>
          </c:tx>
          <c:spPr>
            <a:pattFill prst="wdUpDiag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'Invnetory Study Results'!$P$3:$P$13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Results'!$Q$3:$Q$13</c:f>
              <c:numCache>
                <c:formatCode>0.00</c:formatCode>
                <c:ptCount val="11"/>
                <c:pt idx="0">
                  <c:v>0.490233924941812</c:v>
                </c:pt>
                <c:pt idx="1">
                  <c:v>3.5130123366275598E-3</c:v>
                </c:pt>
                <c:pt idx="2">
                  <c:v>8.3756565313945206</c:v>
                </c:pt>
                <c:pt idx="3">
                  <c:v>1.2226076832556931</c:v>
                </c:pt>
                <c:pt idx="4">
                  <c:v>1.014208646337109E-2</c:v>
                </c:pt>
                <c:pt idx="5">
                  <c:v>3.1756043720927095E-4</c:v>
                </c:pt>
                <c:pt idx="6">
                  <c:v>2.6992637162788031</c:v>
                </c:pt>
                <c:pt idx="7">
                  <c:v>0.13218453198835903</c:v>
                </c:pt>
                <c:pt idx="8">
                  <c:v>0.1468717022092878</c:v>
                </c:pt>
                <c:pt idx="9">
                  <c:v>3.4931648093019803</c:v>
                </c:pt>
                <c:pt idx="10">
                  <c:v>2.758806298255541</c:v>
                </c:pt>
              </c:numCache>
            </c:numRef>
          </c:val>
        </c:ser>
        <c:ser>
          <c:idx val="1"/>
          <c:order val="3"/>
          <c:tx>
            <c:strRef>
              <c:f>'Invnetory Study Results'!$R$2</c:f>
              <c:strCache>
                <c:ptCount val="1"/>
                <c:pt idx="0">
                  <c:v>Waste Scenario Impacts Worst Case (%)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'Invnetory Study Results'!$P$3:$P$13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Results'!$R$3:$R$13</c:f>
              <c:numCache>
                <c:formatCode>0.00</c:formatCode>
                <c:ptCount val="11"/>
                <c:pt idx="0">
                  <c:v>5.001576886046017</c:v>
                </c:pt>
                <c:pt idx="1">
                  <c:v>3.1160617901159714E-2</c:v>
                </c:pt>
                <c:pt idx="2">
                  <c:v>32.946895360461859</c:v>
                </c:pt>
                <c:pt idx="3">
                  <c:v>8.4947416953479973</c:v>
                </c:pt>
                <c:pt idx="4">
                  <c:v>0.17624604265114538</c:v>
                </c:pt>
                <c:pt idx="5">
                  <c:v>5.8947156156970914E-3</c:v>
                </c:pt>
                <c:pt idx="6">
                  <c:v>3.2152994267438681</c:v>
                </c:pt>
                <c:pt idx="7">
                  <c:v>1.155126090348723</c:v>
                </c:pt>
                <c:pt idx="8">
                  <c:v>1.0598579591859418</c:v>
                </c:pt>
                <c:pt idx="9">
                  <c:v>4.7634065581390637</c:v>
                </c:pt>
                <c:pt idx="10">
                  <c:v>23.817032790695318</c:v>
                </c:pt>
              </c:numCache>
            </c:numRef>
          </c:val>
        </c:ser>
        <c:axId val="39516032"/>
        <c:axId val="39591936"/>
      </c:barChart>
      <c:lineChart>
        <c:grouping val="standard"/>
        <c:ser>
          <c:idx val="2"/>
          <c:order val="0"/>
          <c:tx>
            <c:strRef>
              <c:f>'Invnetory Study Results'!$S$2</c:f>
              <c:strCache>
                <c:ptCount val="1"/>
                <c:pt idx="0">
                  <c:v>Empty Package Impacts Best Case (%)</c:v>
                </c:pt>
              </c:strCache>
            </c:strRef>
          </c:tx>
          <c:spPr>
            <a:ln w="25400">
              <a:solidFill>
                <a:srgbClr val="FFCC99"/>
              </a:solidFill>
              <a:prstDash val="lgDashDot"/>
            </a:ln>
          </c:spPr>
          <c:marker>
            <c:symbol val="triangle"/>
            <c:size val="5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strRef>
              <c:f>'Invnetory Study Results'!$P$3:$P$13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Results'!$S$3:$S$13</c:f>
              <c:numCache>
                <c:formatCode>0.00</c:formatCode>
                <c:ptCount val="11"/>
                <c:pt idx="0">
                  <c:v>0.49618818313948587</c:v>
                </c:pt>
                <c:pt idx="1">
                  <c:v>3.1954518994182887E-3</c:v>
                </c:pt>
                <c:pt idx="2">
                  <c:v>7.6412980203480823</c:v>
                </c:pt>
                <c:pt idx="3">
                  <c:v>1.1154310356975643</c:v>
                </c:pt>
                <c:pt idx="4">
                  <c:v>9.2489477337200157E-3</c:v>
                </c:pt>
                <c:pt idx="5">
                  <c:v>2.8977389895345975E-4</c:v>
                </c:pt>
                <c:pt idx="6">
                  <c:v>2.4412458610462702</c:v>
                </c:pt>
                <c:pt idx="7">
                  <c:v>0.12047449086626716</c:v>
                </c:pt>
                <c:pt idx="8">
                  <c:v>0.1337723341744054</c:v>
                </c:pt>
                <c:pt idx="9">
                  <c:v>3.1756043720927094</c:v>
                </c:pt>
                <c:pt idx="10">
                  <c:v>2.5206359703485881</c:v>
                </c:pt>
              </c:numCache>
            </c:numRef>
          </c:val>
        </c:ser>
        <c:ser>
          <c:idx val="3"/>
          <c:order val="1"/>
          <c:tx>
            <c:strRef>
              <c:f>'Invnetory Study Results'!$T$2</c:f>
              <c:strCache>
                <c:ptCount val="1"/>
                <c:pt idx="0">
                  <c:v>Waste Scenario Impacts Best Case (%)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dPt>
            <c:idx val="3"/>
            <c:marker>
              <c:spPr>
                <a:solidFill>
                  <a:srgbClr val="FF6600"/>
                </a:solidFill>
                <a:ln>
                  <a:solidFill>
                    <a:srgbClr val="FF6600"/>
                  </a:solidFill>
                  <a:prstDash val="solid"/>
                </a:ln>
              </c:spPr>
            </c:marker>
            <c:spPr>
              <a:ln w="12700">
                <a:solidFill>
                  <a:srgbClr val="FF6600"/>
                </a:solidFill>
                <a:prstDash val="solid"/>
              </a:ln>
            </c:spPr>
          </c:dPt>
          <c:cat>
            <c:strRef>
              <c:f>'Invnetory Study Results'!$P$3:$P$13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Results'!$T$3:$T$13</c:f>
              <c:numCache>
                <c:formatCode>0.00</c:formatCode>
                <c:ptCount val="11"/>
                <c:pt idx="0">
                  <c:v>4.4259985936042137</c:v>
                </c:pt>
                <c:pt idx="1">
                  <c:v>2.7588062982555412E-2</c:v>
                </c:pt>
                <c:pt idx="2">
                  <c:v>29.374340441857562</c:v>
                </c:pt>
                <c:pt idx="3">
                  <c:v>7.5222128563946056</c:v>
                </c:pt>
                <c:pt idx="4">
                  <c:v>0.15679546587207752</c:v>
                </c:pt>
                <c:pt idx="5">
                  <c:v>5.3191373232552878E-3</c:v>
                </c:pt>
                <c:pt idx="6">
                  <c:v>2.838196407557859</c:v>
                </c:pt>
                <c:pt idx="7">
                  <c:v>1.0281019154650148</c:v>
                </c:pt>
                <c:pt idx="8">
                  <c:v>1.1055072720347745</c:v>
                </c:pt>
                <c:pt idx="9">
                  <c:v>4.2275233203484195</c:v>
                </c:pt>
                <c:pt idx="10">
                  <c:v>21.435329511625788</c:v>
                </c:pt>
              </c:numCache>
            </c:numRef>
          </c:val>
        </c:ser>
        <c:marker val="1"/>
        <c:axId val="39516032"/>
        <c:axId val="39591936"/>
      </c:lineChart>
      <c:catAx>
        <c:axId val="39516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321330109326889"/>
              <c:y val="0.8888898709089935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591936"/>
        <c:crosses val="autoZero"/>
        <c:auto val="1"/>
        <c:lblAlgn val="ctr"/>
        <c:lblOffset val="100"/>
        <c:tickLblSkip val="1"/>
        <c:tickMarkSkip val="1"/>
      </c:catAx>
      <c:valAx>
        <c:axId val="395919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Worst Case Life Cycle</a:t>
                </a:r>
              </a:p>
            </c:rich>
          </c:tx>
          <c:layout>
            <c:manualLayout>
              <c:xMode val="edge"/>
              <c:yMode val="edge"/>
              <c:x val="2.9411536156405647E-2"/>
              <c:y val="0.27555600192833035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51603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28970170269155"/>
          <c:y val="3.3248123361726944E-2"/>
          <c:w val="0.62107013602799488"/>
          <c:h val="6.649624672345388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3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9483568075117402"/>
          <c:y val="0.17218035245594301"/>
          <c:w val="0.78638479168977105"/>
          <c:h val="0.59336857892763373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Results'!$AR$39</c:f>
              <c:strCache>
                <c:ptCount val="1"/>
                <c:pt idx="0">
                  <c:v>Basline Disposal (Pt)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Results'!$AQ$40:$AQ$47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 (LLW)</c:v>
                </c:pt>
                <c:pt idx="3">
                  <c:v>Drums 210l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to LLW</c:v>
                </c:pt>
              </c:strCache>
            </c:strRef>
          </c:cat>
          <c:val>
            <c:numRef>
              <c:f>'Invnetory Study Results'!$AR$40:$AR$47</c:f>
              <c:numCache>
                <c:formatCode>General</c:formatCode>
                <c:ptCount val="8"/>
                <c:pt idx="0" formatCode="0.00E+00">
                  <c:v>74400000</c:v>
                </c:pt>
                <c:pt idx="1">
                  <c:v>0</c:v>
                </c:pt>
                <c:pt idx="2" formatCode="0.00E+00">
                  <c:v>75400000</c:v>
                </c:pt>
                <c:pt idx="3">
                  <c:v>0</c:v>
                </c:pt>
                <c:pt idx="4" formatCode="0.00E+00">
                  <c:v>42200000</c:v>
                </c:pt>
                <c:pt idx="5" formatCode="0.00E+00">
                  <c:v>187000000</c:v>
                </c:pt>
                <c:pt idx="6" formatCode="0.00E+00">
                  <c:v>356000000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'Invnetory Study Results'!$AS$39</c:f>
              <c:strCache>
                <c:ptCount val="1"/>
                <c:pt idx="0">
                  <c:v>Practicable Case Disposal (Pt)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Results'!$AQ$40:$AQ$47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 (LLW)</c:v>
                </c:pt>
                <c:pt idx="3">
                  <c:v>Drums 210l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to LLW</c:v>
                </c:pt>
              </c:strCache>
            </c:strRef>
          </c:cat>
          <c:val>
            <c:numRef>
              <c:f>'Invnetory Study Results'!$AS$40:$AS$47</c:f>
              <c:numCache>
                <c:formatCode>General</c:formatCode>
                <c:ptCount val="8"/>
                <c:pt idx="0" formatCode="0.00E+00">
                  <c:v>61300000</c:v>
                </c:pt>
                <c:pt idx="1">
                  <c:v>0</c:v>
                </c:pt>
                <c:pt idx="2" formatCode="0.00E+00">
                  <c:v>36400000</c:v>
                </c:pt>
                <c:pt idx="3">
                  <c:v>0</c:v>
                </c:pt>
                <c:pt idx="4" formatCode="0.00E+00">
                  <c:v>20600000</c:v>
                </c:pt>
                <c:pt idx="5" formatCode="0.00E+00">
                  <c:v>93300000</c:v>
                </c:pt>
                <c:pt idx="6" formatCode="0.00E+00">
                  <c:v>293000000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'Invnetory Study Results'!$AT$39</c:f>
              <c:strCache>
                <c:ptCount val="1"/>
                <c:pt idx="0">
                  <c:v>Best Case Disposal (Pt)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Results'!$AQ$40:$AQ$47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 (LLW)</c:v>
                </c:pt>
                <c:pt idx="3">
                  <c:v>Drums 210l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to LLW</c:v>
                </c:pt>
              </c:strCache>
            </c:strRef>
          </c:cat>
          <c:val>
            <c:numRef>
              <c:f>'Invnetory Study Results'!$AT$40:$AT$47</c:f>
              <c:numCache>
                <c:formatCode>0.00E+00</c:formatCode>
                <c:ptCount val="8"/>
                <c:pt idx="0">
                  <c:v>55700000</c:v>
                </c:pt>
                <c:pt idx="1">
                  <c:v>1000000</c:v>
                </c:pt>
                <c:pt idx="2">
                  <c:v>29600000</c:v>
                </c:pt>
                <c:pt idx="3">
                  <c:v>2640000</c:v>
                </c:pt>
                <c:pt idx="4">
                  <c:v>1380000</c:v>
                </c:pt>
                <c:pt idx="5">
                  <c:v>93300000</c:v>
                </c:pt>
                <c:pt idx="6">
                  <c:v>267000000</c:v>
                </c:pt>
                <c:pt idx="7">
                  <c:v>2400000</c:v>
                </c:pt>
              </c:numCache>
            </c:numRef>
          </c:val>
        </c:ser>
        <c:axId val="39621760"/>
        <c:axId val="39623680"/>
      </c:barChart>
      <c:catAx>
        <c:axId val="396217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Life Cycle Process Stage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(Partical Case ~69% of the Planning Norm)</a:t>
                </a:r>
              </a:p>
            </c:rich>
          </c:tx>
          <c:layout>
            <c:manualLayout>
              <c:xMode val="edge"/>
              <c:yMode val="edge"/>
              <c:x val="0.39334616506270054"/>
              <c:y val="0.8536582296298135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623680"/>
        <c:crosses val="autoZero"/>
        <c:auto val="1"/>
        <c:lblAlgn val="ctr"/>
        <c:lblOffset val="100"/>
        <c:tickLblSkip val="1"/>
        <c:tickMarkSkip val="1"/>
      </c:catAx>
      <c:valAx>
        <c:axId val="396236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Impact (Pt)</a:t>
                </a:r>
              </a:p>
            </c:rich>
          </c:tx>
          <c:layout>
            <c:manualLayout>
              <c:xMode val="edge"/>
              <c:yMode val="edge"/>
              <c:x val="2.5440335109626448E-2"/>
              <c:y val="0.23577204269024732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62176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33467774882433377"/>
          <c:y val="3.7854889589905363E-2"/>
          <c:w val="0.45967787187920539"/>
          <c:h val="0.1261829652996845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3440860215053801"/>
          <c:y val="0.20121903207221006"/>
          <c:w val="0.85125490362091805"/>
          <c:h val="0.22560927597464997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Results'!$AR$63</c:f>
              <c:strCache>
                <c:ptCount val="1"/>
                <c:pt idx="0">
                  <c:v>Worst Case Disposal (Pt)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Results'!$AQ$64:$AQ$74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Results'!$AR$64:$AR$74</c:f>
              <c:numCache>
                <c:formatCode>0.00E+00</c:formatCode>
                <c:ptCount val="11"/>
                <c:pt idx="0">
                  <c:v>41700000</c:v>
                </c:pt>
                <c:pt idx="1">
                  <c:v>258000</c:v>
                </c:pt>
                <c:pt idx="2">
                  <c:v>307000000</c:v>
                </c:pt>
                <c:pt idx="3">
                  <c:v>74900000</c:v>
                </c:pt>
                <c:pt idx="4">
                  <c:v>1370000</c:v>
                </c:pt>
                <c:pt idx="5">
                  <c:v>41900</c:v>
                </c:pt>
                <c:pt idx="6">
                  <c:v>41400000</c:v>
                </c:pt>
                <c:pt idx="7">
                  <c:v>9540000</c:v>
                </c:pt>
                <c:pt idx="8">
                  <c:v>9970000</c:v>
                </c:pt>
                <c:pt idx="9">
                  <c:v>58900000</c:v>
                </c:pt>
                <c:pt idx="10">
                  <c:v>191000000</c:v>
                </c:pt>
              </c:numCache>
            </c:numRef>
          </c:val>
        </c:ser>
        <c:ser>
          <c:idx val="2"/>
          <c:order val="1"/>
          <c:tx>
            <c:strRef>
              <c:f>'Invnetory Study Results'!$AT$63</c:f>
              <c:strCache>
                <c:ptCount val="1"/>
                <c:pt idx="0">
                  <c:v>Best Case Disposal (Pt)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Results'!$AQ$64:$AQ$74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Results'!$AT$64:$AT$74</c:f>
              <c:numCache>
                <c:formatCode>0.00E+00</c:formatCode>
                <c:ptCount val="11"/>
                <c:pt idx="0">
                  <c:v>24800000</c:v>
                </c:pt>
                <c:pt idx="1">
                  <c:v>155100</c:v>
                </c:pt>
                <c:pt idx="2">
                  <c:v>186500000</c:v>
                </c:pt>
                <c:pt idx="3">
                  <c:v>43520000</c:v>
                </c:pt>
                <c:pt idx="4">
                  <c:v>836600</c:v>
                </c:pt>
                <c:pt idx="5">
                  <c:v>28260</c:v>
                </c:pt>
                <c:pt idx="6">
                  <c:v>26600000</c:v>
                </c:pt>
                <c:pt idx="7">
                  <c:v>5787000</c:v>
                </c:pt>
                <c:pt idx="8">
                  <c:v>6244000</c:v>
                </c:pt>
                <c:pt idx="9">
                  <c:v>37300000</c:v>
                </c:pt>
                <c:pt idx="10">
                  <c:v>120700000</c:v>
                </c:pt>
              </c:numCache>
            </c:numRef>
          </c:val>
        </c:ser>
        <c:axId val="39747968"/>
        <c:axId val="39749888"/>
      </c:barChart>
      <c:catAx>
        <c:axId val="397479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Impact Category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(Best Case Impact 62% of Worst Case Impact)</a:t>
                </a:r>
              </a:p>
            </c:rich>
          </c:tx>
          <c:layout>
            <c:manualLayout>
              <c:xMode val="edge"/>
              <c:yMode val="edge"/>
              <c:x val="0.34345383894095921"/>
              <c:y val="0.8252429337421931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749888"/>
        <c:crossesAt val="1000000"/>
        <c:auto val="1"/>
        <c:lblAlgn val="ctr"/>
        <c:lblOffset val="100"/>
        <c:tickLblSkip val="1"/>
        <c:tickMarkSkip val="1"/>
      </c:catAx>
      <c:valAx>
        <c:axId val="39749888"/>
        <c:scaling>
          <c:orientation val="minMax"/>
          <c:min val="1000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Eco-Indicator 99 Impact (Pt)</a:t>
                </a:r>
              </a:p>
            </c:rich>
          </c:tx>
          <c:layout>
            <c:manualLayout>
              <c:xMode val="edge"/>
              <c:yMode val="edge"/>
              <c:x val="2.4667985144602635E-2"/>
              <c:y val="9.2233223322332233E-2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74796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727623750619316"/>
          <c:y val="5.4877991736181492E-2"/>
          <c:w val="0.90322634007722513"/>
          <c:h val="0.1707315298458979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799138916315902"/>
          <c:y val="0.19496795472203404"/>
          <c:w val="0.87473025222158829"/>
          <c:h val="0.23899297675604103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Results'!$AJ$63</c:f>
              <c:strCache>
                <c:ptCount val="1"/>
                <c:pt idx="0">
                  <c:v>Planning Norm Packages (Pt)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Results'!$AI$64:$AI$74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Results'!$AJ$64:$AJ$74</c:f>
              <c:numCache>
                <c:formatCode>0.00E+00</c:formatCode>
                <c:ptCount val="11"/>
                <c:pt idx="0">
                  <c:v>4430000</c:v>
                </c:pt>
                <c:pt idx="1">
                  <c:v>30400</c:v>
                </c:pt>
                <c:pt idx="2">
                  <c:v>67900000</c:v>
                </c:pt>
                <c:pt idx="3">
                  <c:v>10800000</c:v>
                </c:pt>
                <c:pt idx="4">
                  <c:v>88500</c:v>
                </c:pt>
                <c:pt idx="5">
                  <c:v>2760</c:v>
                </c:pt>
                <c:pt idx="6">
                  <c:v>17500000</c:v>
                </c:pt>
                <c:pt idx="7">
                  <c:v>1130000</c:v>
                </c:pt>
                <c:pt idx="8">
                  <c:v>1280000</c:v>
                </c:pt>
                <c:pt idx="9">
                  <c:v>23000000</c:v>
                </c:pt>
                <c:pt idx="10">
                  <c:v>23800000</c:v>
                </c:pt>
              </c:numCache>
            </c:numRef>
          </c:val>
        </c:ser>
        <c:ser>
          <c:idx val="1"/>
          <c:order val="1"/>
          <c:tx>
            <c:strRef>
              <c:f>'Invnetory Study Results'!$AK$63</c:f>
              <c:strCache>
                <c:ptCount val="1"/>
                <c:pt idx="0">
                  <c:v>Planning Norm Waste (Pt)</c:v>
                </c:pt>
              </c:strCache>
            </c:strRef>
          </c:tx>
          <c:spPr>
            <a:solidFill>
              <a:srgbClr val="3F77BE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Results'!$AI$64:$AI$74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Results'!$AK$64:$AK$74</c:f>
              <c:numCache>
                <c:formatCode>0.00E+00</c:formatCode>
                <c:ptCount val="11"/>
                <c:pt idx="0">
                  <c:v>37300000</c:v>
                </c:pt>
                <c:pt idx="1">
                  <c:v>228000</c:v>
                </c:pt>
                <c:pt idx="2">
                  <c:v>239000000</c:v>
                </c:pt>
                <c:pt idx="3">
                  <c:v>64100000</c:v>
                </c:pt>
                <c:pt idx="4">
                  <c:v>1290000</c:v>
                </c:pt>
                <c:pt idx="5">
                  <c:v>39100</c:v>
                </c:pt>
                <c:pt idx="6">
                  <c:v>23900000</c:v>
                </c:pt>
                <c:pt idx="7">
                  <c:v>8410000</c:v>
                </c:pt>
                <c:pt idx="8">
                  <c:v>8690000</c:v>
                </c:pt>
                <c:pt idx="9">
                  <c:v>35800000</c:v>
                </c:pt>
                <c:pt idx="10">
                  <c:v>167000000</c:v>
                </c:pt>
              </c:numCache>
            </c:numRef>
          </c:val>
        </c:ser>
        <c:ser>
          <c:idx val="2"/>
          <c:order val="2"/>
          <c:tx>
            <c:strRef>
              <c:f>'Invnetory Study Results'!$AL$63</c:f>
              <c:strCache>
                <c:ptCount val="1"/>
                <c:pt idx="0">
                  <c:v>Target Worst Case Packages (Pt)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Results'!$AI$64:$AI$74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Results'!$AL$64:$AL$74</c:f>
              <c:numCache>
                <c:formatCode>0.00E+00</c:formatCode>
                <c:ptCount val="11"/>
                <c:pt idx="0">
                  <c:v>2740000</c:v>
                </c:pt>
                <c:pt idx="1">
                  <c:v>17700</c:v>
                </c:pt>
                <c:pt idx="2">
                  <c:v>42200000</c:v>
                </c:pt>
                <c:pt idx="3">
                  <c:v>6160000</c:v>
                </c:pt>
                <c:pt idx="4">
                  <c:v>51100</c:v>
                </c:pt>
                <c:pt idx="5">
                  <c:v>1600</c:v>
                </c:pt>
                <c:pt idx="6">
                  <c:v>13600000</c:v>
                </c:pt>
                <c:pt idx="7">
                  <c:v>666000</c:v>
                </c:pt>
                <c:pt idx="8">
                  <c:v>740000</c:v>
                </c:pt>
                <c:pt idx="9">
                  <c:v>17600000</c:v>
                </c:pt>
                <c:pt idx="10">
                  <c:v>13900000</c:v>
                </c:pt>
              </c:numCache>
            </c:numRef>
          </c:val>
        </c:ser>
        <c:ser>
          <c:idx val="3"/>
          <c:order val="3"/>
          <c:tx>
            <c:strRef>
              <c:f>'Invnetory Study Results'!$AM$63</c:f>
              <c:strCache>
                <c:ptCount val="1"/>
                <c:pt idx="0">
                  <c:v>Target Worst Case Waste (Pt)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Results'!$AI$64:$AI$74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Results'!$AM$64:$AM$74</c:f>
              <c:numCache>
                <c:formatCode>0.00E+00</c:formatCode>
                <c:ptCount val="11"/>
                <c:pt idx="0">
                  <c:v>25200000</c:v>
                </c:pt>
                <c:pt idx="1">
                  <c:v>157000</c:v>
                </c:pt>
                <c:pt idx="2">
                  <c:v>166000000</c:v>
                </c:pt>
                <c:pt idx="3">
                  <c:v>42800000</c:v>
                </c:pt>
                <c:pt idx="4">
                  <c:v>888000</c:v>
                </c:pt>
                <c:pt idx="5">
                  <c:v>29700</c:v>
                </c:pt>
                <c:pt idx="6">
                  <c:v>16200000</c:v>
                </c:pt>
                <c:pt idx="7">
                  <c:v>5820000</c:v>
                </c:pt>
                <c:pt idx="8">
                  <c:v>5340000</c:v>
                </c:pt>
                <c:pt idx="9">
                  <c:v>24000000</c:v>
                </c:pt>
                <c:pt idx="10">
                  <c:v>120000000</c:v>
                </c:pt>
              </c:numCache>
            </c:numRef>
          </c:val>
        </c:ser>
        <c:ser>
          <c:idx val="4"/>
          <c:order val="4"/>
          <c:tx>
            <c:strRef>
              <c:f>'Invnetory Study Results'!$AN$63</c:f>
              <c:strCache>
                <c:ptCount val="1"/>
                <c:pt idx="0">
                  <c:v>Best Case Packages (Pt)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Results'!$AI$64:$AI$74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Results'!$AN$64:$AN$74</c:f>
              <c:numCache>
                <c:formatCode>0.00E+00</c:formatCode>
                <c:ptCount val="11"/>
                <c:pt idx="0">
                  <c:v>2500000</c:v>
                </c:pt>
                <c:pt idx="1">
                  <c:v>16100</c:v>
                </c:pt>
                <c:pt idx="2">
                  <c:v>38500000</c:v>
                </c:pt>
                <c:pt idx="3">
                  <c:v>5620000</c:v>
                </c:pt>
                <c:pt idx="4">
                  <c:v>46600</c:v>
                </c:pt>
                <c:pt idx="5">
                  <c:v>1460</c:v>
                </c:pt>
                <c:pt idx="6">
                  <c:v>12300000</c:v>
                </c:pt>
                <c:pt idx="7">
                  <c:v>607000</c:v>
                </c:pt>
                <c:pt idx="8">
                  <c:v>674000</c:v>
                </c:pt>
                <c:pt idx="9">
                  <c:v>16000000</c:v>
                </c:pt>
                <c:pt idx="10">
                  <c:v>12700000</c:v>
                </c:pt>
              </c:numCache>
            </c:numRef>
          </c:val>
        </c:ser>
        <c:ser>
          <c:idx val="5"/>
          <c:order val="5"/>
          <c:tx>
            <c:strRef>
              <c:f>'Invnetory Study Results'!$AO$63</c:f>
              <c:strCache>
                <c:ptCount val="1"/>
                <c:pt idx="0">
                  <c:v>Best Case Waste (Pt)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Results'!$AI$64:$AI$74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Results'!$AO$64:$AO$74</c:f>
              <c:numCache>
                <c:formatCode>0.00E+00</c:formatCode>
                <c:ptCount val="11"/>
                <c:pt idx="0">
                  <c:v>22300000</c:v>
                </c:pt>
                <c:pt idx="1">
                  <c:v>139000</c:v>
                </c:pt>
                <c:pt idx="2">
                  <c:v>148000000</c:v>
                </c:pt>
                <c:pt idx="3">
                  <c:v>37900000</c:v>
                </c:pt>
                <c:pt idx="4">
                  <c:v>790000</c:v>
                </c:pt>
                <c:pt idx="5">
                  <c:v>26800</c:v>
                </c:pt>
                <c:pt idx="6">
                  <c:v>14300000</c:v>
                </c:pt>
                <c:pt idx="7">
                  <c:v>5180000</c:v>
                </c:pt>
                <c:pt idx="8">
                  <c:v>5570000</c:v>
                </c:pt>
                <c:pt idx="9">
                  <c:v>21300000</c:v>
                </c:pt>
                <c:pt idx="10">
                  <c:v>108000000</c:v>
                </c:pt>
              </c:numCache>
            </c:numRef>
          </c:val>
        </c:ser>
        <c:axId val="59529088"/>
        <c:axId val="59551744"/>
      </c:barChart>
      <c:catAx>
        <c:axId val="595290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250539128529236"/>
              <c:y val="0.8801860481725498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551744"/>
        <c:crossesAt val="1000000"/>
        <c:auto val="1"/>
        <c:lblAlgn val="ctr"/>
        <c:lblOffset val="100"/>
        <c:tickLblSkip val="1"/>
        <c:tickMarkSkip val="1"/>
      </c:catAx>
      <c:valAx>
        <c:axId val="59551744"/>
        <c:scaling>
          <c:orientation val="minMax"/>
          <c:min val="1000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Eco-Indicator 99 Impact (Pt)</a:t>
                </a:r>
              </a:p>
            </c:rich>
          </c:tx>
          <c:layout>
            <c:manualLayout>
              <c:xMode val="edge"/>
              <c:yMode val="edge"/>
              <c:x val="2.7837061164318409E-2"/>
              <c:y val="0.13364079490063741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52908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352941176470584"/>
          <c:y val="6.7796722385994421E-2"/>
          <c:w val="0.13662239089184061"/>
          <c:h val="0.586441648638851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114540702259401"/>
          <c:y val="0.13357388949165"/>
          <c:w val="0.85462578045030013"/>
          <c:h val="0.66786944745825116"/>
        </c:manualLayout>
      </c:layout>
      <c:lineChart>
        <c:grouping val="standard"/>
        <c:ser>
          <c:idx val="0"/>
          <c:order val="0"/>
          <c:tx>
            <c:strRef>
              <c:f>'General metal graphs'!$B$213</c:f>
              <c:strCache>
                <c:ptCount val="1"/>
                <c:pt idx="0">
                  <c:v>50 years after start-up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'General metal graphs'!$A$214:$A$226</c:f>
              <c:numCache>
                <c:formatCode>General</c:formatCode>
                <c:ptCount val="13"/>
                <c:pt idx="0">
                  <c:v>2</c:v>
                </c:pt>
                <c:pt idx="1">
                  <c:v>5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17</c:v>
                </c:pt>
                <c:pt idx="6">
                  <c:v>19</c:v>
                </c:pt>
                <c:pt idx="7">
                  <c:v>21</c:v>
                </c:pt>
                <c:pt idx="8">
                  <c:v>23</c:v>
                </c:pt>
                <c:pt idx="9">
                  <c:v>25</c:v>
                </c:pt>
                <c:pt idx="10">
                  <c:v>27</c:v>
                </c:pt>
                <c:pt idx="11">
                  <c:v>28</c:v>
                </c:pt>
                <c:pt idx="12">
                  <c:v>30</c:v>
                </c:pt>
              </c:numCache>
            </c:numRef>
          </c:cat>
          <c:val>
            <c:numRef>
              <c:f>'General metal graphs'!$B$214:$B$226</c:f>
              <c:numCache>
                <c:formatCode>General</c:formatCode>
                <c:ptCount val="13"/>
                <c:pt idx="0">
                  <c:v>26433</c:v>
                </c:pt>
                <c:pt idx="1">
                  <c:v>51254</c:v>
                </c:pt>
                <c:pt idx="2">
                  <c:v>10810</c:v>
                </c:pt>
                <c:pt idx="3">
                  <c:v>31634</c:v>
                </c:pt>
                <c:pt idx="4">
                  <c:v>38137</c:v>
                </c:pt>
                <c:pt idx="5">
                  <c:v>33741</c:v>
                </c:pt>
                <c:pt idx="6">
                  <c:v>49057</c:v>
                </c:pt>
                <c:pt idx="7">
                  <c:v>83861</c:v>
                </c:pt>
                <c:pt idx="8">
                  <c:v>42095</c:v>
                </c:pt>
                <c:pt idx="9">
                  <c:v>134782</c:v>
                </c:pt>
                <c:pt idx="10">
                  <c:v>48367</c:v>
                </c:pt>
                <c:pt idx="11">
                  <c:v>84762</c:v>
                </c:pt>
                <c:pt idx="12">
                  <c:v>12340</c:v>
                </c:pt>
              </c:numCache>
            </c:numRef>
          </c:val>
        </c:ser>
        <c:ser>
          <c:idx val="1"/>
          <c:order val="1"/>
          <c:tx>
            <c:strRef>
              <c:f>'General metal graphs'!$C$213</c:f>
              <c:strCache>
                <c:ptCount val="1"/>
                <c:pt idx="0">
                  <c:v>100 years after start-up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'General metal graphs'!$A$214:$A$226</c:f>
              <c:numCache>
                <c:formatCode>General</c:formatCode>
                <c:ptCount val="13"/>
                <c:pt idx="0">
                  <c:v>2</c:v>
                </c:pt>
                <c:pt idx="1">
                  <c:v>5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17</c:v>
                </c:pt>
                <c:pt idx="6">
                  <c:v>19</c:v>
                </c:pt>
                <c:pt idx="7">
                  <c:v>21</c:v>
                </c:pt>
                <c:pt idx="8">
                  <c:v>23</c:v>
                </c:pt>
                <c:pt idx="9">
                  <c:v>25</c:v>
                </c:pt>
                <c:pt idx="10">
                  <c:v>27</c:v>
                </c:pt>
                <c:pt idx="11">
                  <c:v>28</c:v>
                </c:pt>
                <c:pt idx="12">
                  <c:v>30</c:v>
                </c:pt>
              </c:numCache>
            </c:numRef>
          </c:cat>
          <c:val>
            <c:numRef>
              <c:f>'General metal graphs'!$C$214:$C$226</c:f>
              <c:numCache>
                <c:formatCode>General</c:formatCode>
                <c:ptCount val="13"/>
                <c:pt idx="0">
                  <c:v>13216</c:v>
                </c:pt>
                <c:pt idx="1">
                  <c:v>25627</c:v>
                </c:pt>
                <c:pt idx="2">
                  <c:v>5405</c:v>
                </c:pt>
                <c:pt idx="3">
                  <c:v>15817</c:v>
                </c:pt>
                <c:pt idx="4">
                  <c:v>19069</c:v>
                </c:pt>
                <c:pt idx="5">
                  <c:v>16871</c:v>
                </c:pt>
                <c:pt idx="6">
                  <c:v>24529</c:v>
                </c:pt>
                <c:pt idx="7">
                  <c:v>41943</c:v>
                </c:pt>
                <c:pt idx="8">
                  <c:v>21048</c:v>
                </c:pt>
                <c:pt idx="9">
                  <c:v>67391</c:v>
                </c:pt>
                <c:pt idx="10">
                  <c:v>24183</c:v>
                </c:pt>
                <c:pt idx="11">
                  <c:v>42381</c:v>
                </c:pt>
                <c:pt idx="12">
                  <c:v>6170</c:v>
                </c:pt>
              </c:numCache>
            </c:numRef>
          </c:val>
        </c:ser>
        <c:ser>
          <c:idx val="2"/>
          <c:order val="2"/>
          <c:tx>
            <c:strRef>
              <c:f>'General metal graphs'!$D$213</c:f>
              <c:strCache>
                <c:ptCount val="1"/>
                <c:pt idx="0">
                  <c:v>150 years after start-up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'General metal graphs'!$A$214:$A$226</c:f>
              <c:numCache>
                <c:formatCode>General</c:formatCode>
                <c:ptCount val="13"/>
                <c:pt idx="0">
                  <c:v>2</c:v>
                </c:pt>
                <c:pt idx="1">
                  <c:v>5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17</c:v>
                </c:pt>
                <c:pt idx="6">
                  <c:v>19</c:v>
                </c:pt>
                <c:pt idx="7">
                  <c:v>21</c:v>
                </c:pt>
                <c:pt idx="8">
                  <c:v>23</c:v>
                </c:pt>
                <c:pt idx="9">
                  <c:v>25</c:v>
                </c:pt>
                <c:pt idx="10">
                  <c:v>27</c:v>
                </c:pt>
                <c:pt idx="11">
                  <c:v>28</c:v>
                </c:pt>
                <c:pt idx="12">
                  <c:v>30</c:v>
                </c:pt>
              </c:numCache>
            </c:numRef>
          </c:cat>
          <c:val>
            <c:numRef>
              <c:f>'General metal graphs'!$D$214:$D$226</c:f>
              <c:numCache>
                <c:formatCode>General</c:formatCode>
                <c:ptCount val="13"/>
                <c:pt idx="0">
                  <c:v>6608</c:v>
                </c:pt>
                <c:pt idx="1">
                  <c:v>12814</c:v>
                </c:pt>
                <c:pt idx="2">
                  <c:v>2703</c:v>
                </c:pt>
                <c:pt idx="3">
                  <c:v>7908</c:v>
                </c:pt>
                <c:pt idx="4">
                  <c:v>9534</c:v>
                </c:pt>
                <c:pt idx="5">
                  <c:v>8435</c:v>
                </c:pt>
                <c:pt idx="6">
                  <c:v>12264</c:v>
                </c:pt>
                <c:pt idx="7">
                  <c:v>20965</c:v>
                </c:pt>
                <c:pt idx="8">
                  <c:v>10524</c:v>
                </c:pt>
                <c:pt idx="9">
                  <c:v>33695</c:v>
                </c:pt>
                <c:pt idx="10" formatCode="#,##0">
                  <c:v>12092</c:v>
                </c:pt>
                <c:pt idx="11">
                  <c:v>21191</c:v>
                </c:pt>
                <c:pt idx="12">
                  <c:v>3085</c:v>
                </c:pt>
              </c:numCache>
            </c:numRef>
          </c:val>
        </c:ser>
        <c:marker val="1"/>
        <c:axId val="53144576"/>
        <c:axId val="53286400"/>
      </c:lineChart>
      <c:catAx>
        <c:axId val="531445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Years  from end of operating life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(Year 4 is reactor shutdown)</a:t>
                </a:r>
              </a:p>
            </c:rich>
          </c:tx>
          <c:layout>
            <c:manualLayout>
              <c:xMode val="edge"/>
              <c:yMode val="edge"/>
              <c:x val="0.39885493479981665"/>
              <c:y val="0.8527800404259812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286400"/>
        <c:crosses val="autoZero"/>
        <c:auto val="1"/>
        <c:lblAlgn val="ctr"/>
        <c:lblOffset val="100"/>
        <c:tickLblSkip val="1"/>
        <c:tickMarkSkip val="1"/>
      </c:catAx>
      <c:valAx>
        <c:axId val="532864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Steel and Iron 'Cleanable' Inventory (tons)</a:t>
                </a:r>
              </a:p>
            </c:rich>
          </c:tx>
          <c:layout>
            <c:manualLayout>
              <c:xMode val="edge"/>
              <c:yMode val="edge"/>
              <c:x val="3.0534308211473567E-2"/>
              <c:y val="0.1277780794642048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14457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22879684418146"/>
          <c:y val="1.6838228039596146E-2"/>
          <c:w val="0.69230769230769229"/>
          <c:h val="6.174016947851920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4049904030710105E-2"/>
          <c:y val="0.13214308758211404"/>
          <c:w val="0.88867562380038412"/>
          <c:h val="0.54285808952652304"/>
        </c:manualLayout>
      </c:layout>
      <c:barChart>
        <c:barDir val="col"/>
        <c:grouping val="stacked"/>
        <c:ser>
          <c:idx val="0"/>
          <c:order val="0"/>
          <c:tx>
            <c:strRef>
              <c:f>'Invnetory Study Results'!$I$106</c:f>
              <c:strCache>
                <c:ptCount val="1"/>
                <c:pt idx="0">
                  <c:v>VLLW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Results'!$J$105:$Q$105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</c:v>
                </c:pt>
                <c:pt idx="3">
                  <c:v>Cu</c:v>
                </c:pt>
                <c:pt idx="4">
                  <c:v>Ni</c:v>
                </c:pt>
                <c:pt idx="5">
                  <c:v>Pb</c:v>
                </c:pt>
                <c:pt idx="6">
                  <c:v>Unspecified</c:v>
                </c:pt>
                <c:pt idx="7">
                  <c:v>Zn</c:v>
                </c:pt>
              </c:strCache>
            </c:strRef>
          </c:cat>
          <c:val>
            <c:numRef>
              <c:f>'Invnetory Study Results'!$J$106:$Q$106</c:f>
              <c:numCache>
                <c:formatCode>0.00</c:formatCode>
                <c:ptCount val="8"/>
                <c:pt idx="0">
                  <c:v>2.9208781654168026</c:v>
                </c:pt>
                <c:pt idx="1">
                  <c:v>1.4400608629496794</c:v>
                </c:pt>
                <c:pt idx="2">
                  <c:v>0.57738289316378655</c:v>
                </c:pt>
                <c:pt idx="3">
                  <c:v>7.3769155526573205E-2</c:v>
                </c:pt>
                <c:pt idx="4">
                  <c:v>0</c:v>
                </c:pt>
                <c:pt idx="5">
                  <c:v>0.14536463427888274</c:v>
                </c:pt>
                <c:pt idx="6">
                  <c:v>0</c:v>
                </c:pt>
                <c:pt idx="7">
                  <c:v>0.57738289316378655</c:v>
                </c:pt>
              </c:numCache>
            </c:numRef>
          </c:val>
        </c:ser>
        <c:ser>
          <c:idx val="1"/>
          <c:order val="1"/>
          <c:tx>
            <c:strRef>
              <c:f>'Invnetory Study Results'!$I$107</c:f>
              <c:strCache>
                <c:ptCount val="1"/>
                <c:pt idx="0">
                  <c:v>LLW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Results'!$J$105:$Q$105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</c:v>
                </c:pt>
                <c:pt idx="3">
                  <c:v>Cu</c:v>
                </c:pt>
                <c:pt idx="4">
                  <c:v>Ni</c:v>
                </c:pt>
                <c:pt idx="5">
                  <c:v>Pb</c:v>
                </c:pt>
                <c:pt idx="6">
                  <c:v>Unspecified</c:v>
                </c:pt>
                <c:pt idx="7">
                  <c:v>Zn</c:v>
                </c:pt>
              </c:strCache>
            </c:strRef>
          </c:cat>
          <c:val>
            <c:numRef>
              <c:f>'Invnetory Study Results'!$J$107:$Q$107</c:f>
              <c:numCache>
                <c:formatCode>0.00</c:formatCode>
                <c:ptCount val="8"/>
                <c:pt idx="0">
                  <c:v>14.400608629496794</c:v>
                </c:pt>
                <c:pt idx="1">
                  <c:v>3.3556135202695363</c:v>
                </c:pt>
                <c:pt idx="2">
                  <c:v>9.5234213672426904E-2</c:v>
                </c:pt>
                <c:pt idx="3">
                  <c:v>0.15623301815020108</c:v>
                </c:pt>
                <c:pt idx="4">
                  <c:v>0.30974894033257255</c:v>
                </c:pt>
                <c:pt idx="5">
                  <c:v>0.26219976089555486</c:v>
                </c:pt>
                <c:pt idx="6">
                  <c:v>6.9421801978045856</c:v>
                </c:pt>
                <c:pt idx="7">
                  <c:v>1.4264753831105315E-2</c:v>
                </c:pt>
              </c:numCache>
            </c:numRef>
          </c:val>
        </c:ser>
        <c:ser>
          <c:idx val="2"/>
          <c:order val="2"/>
          <c:tx>
            <c:strRef>
              <c:f>'Invnetory Study Results'!$I$108</c:f>
              <c:strCache>
                <c:ptCount val="1"/>
                <c:pt idx="0">
                  <c:v>ILW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Results'!$J$105:$Q$105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</c:v>
                </c:pt>
                <c:pt idx="3">
                  <c:v>Cu</c:v>
                </c:pt>
                <c:pt idx="4">
                  <c:v>Ni</c:v>
                </c:pt>
                <c:pt idx="5">
                  <c:v>Pb</c:v>
                </c:pt>
                <c:pt idx="6">
                  <c:v>Unspecified</c:v>
                </c:pt>
                <c:pt idx="7">
                  <c:v>Zn</c:v>
                </c:pt>
              </c:strCache>
            </c:strRef>
          </c:cat>
          <c:val>
            <c:numRef>
              <c:f>'Invnetory Study Results'!$J$108:$Q$108</c:f>
              <c:numCache>
                <c:formatCode>0.00</c:formatCode>
                <c:ptCount val="8"/>
                <c:pt idx="0">
                  <c:v>23.231170524942939</c:v>
                </c:pt>
                <c:pt idx="1">
                  <c:v>19.019671774807087</c:v>
                </c:pt>
                <c:pt idx="2">
                  <c:v>0.56923160526029781</c:v>
                </c:pt>
                <c:pt idx="3">
                  <c:v>0.19155526573198567</c:v>
                </c:pt>
                <c:pt idx="4">
                  <c:v>1.4672318226279752</c:v>
                </c:pt>
                <c:pt idx="5">
                  <c:v>0.3899032713835453</c:v>
                </c:pt>
                <c:pt idx="6">
                  <c:v>3.518639278339311</c:v>
                </c:pt>
                <c:pt idx="7">
                  <c:v>2.2823606129768505E-2</c:v>
                </c:pt>
              </c:numCache>
            </c:numRef>
          </c:val>
        </c:ser>
        <c:overlap val="100"/>
        <c:axId val="59581568"/>
        <c:axId val="59583488"/>
      </c:barChart>
      <c:catAx>
        <c:axId val="59581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800" b="0"/>
                  <a:t>Baselin</a:t>
                </a:r>
                <a:r>
                  <a:rPr lang="en-GB" sz="800" b="0" baseline="0"/>
                  <a:t> </a:t>
                </a:r>
                <a:r>
                  <a:rPr lang="en-GB" sz="800" b="0"/>
                  <a:t>Treatment &amp; Disposal Impact by Waste Metal</a:t>
                </a:r>
              </a:p>
            </c:rich>
          </c:tx>
          <c:layout>
            <c:manualLayout>
              <c:xMode val="edge"/>
              <c:yMode val="edge"/>
              <c:x val="0.23058817312265495"/>
              <c:y val="0.8949258773208904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583488"/>
        <c:crosses val="autoZero"/>
        <c:auto val="1"/>
        <c:lblAlgn val="ctr"/>
        <c:lblOffset val="100"/>
        <c:tickLblSkip val="1"/>
        <c:tickMarkSkip val="1"/>
      </c:catAx>
      <c:valAx>
        <c:axId val="595834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800" b="0"/>
                  <a:t>Percantage of Total Baseline</a:t>
                </a:r>
                <a:r>
                  <a:rPr lang="en-GB" sz="800" b="0" baseline="0"/>
                  <a:t> </a:t>
                </a:r>
                <a:r>
                  <a:rPr lang="en-GB" sz="800" b="0"/>
                  <a:t>Impact</a:t>
                </a:r>
              </a:p>
            </c:rich>
          </c:tx>
          <c:layout>
            <c:manualLayout>
              <c:xMode val="edge"/>
              <c:yMode val="edge"/>
              <c:x val="2.8366009617925278E-2"/>
              <c:y val="0.22179449790998346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58156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703584170174062"/>
          <c:y val="3.7037120761720471E-2"/>
          <c:w val="0.2747073170332735"/>
          <c:h val="4.86112209997581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26119402985074602"/>
          <c:y val="0.28888932633420811"/>
          <c:w val="0.71268568574450608"/>
          <c:h val="0.28888932633420811"/>
        </c:manualLayout>
      </c:layout>
      <c:barChart>
        <c:barDir val="col"/>
        <c:grouping val="stacked"/>
        <c:ser>
          <c:idx val="0"/>
          <c:order val="0"/>
          <c:tx>
            <c:strRef>
              <c:f>'Invnetory Study Results'!$I$110</c:f>
              <c:strCache>
                <c:ptCount val="1"/>
                <c:pt idx="0">
                  <c:v>Best VLLW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Results'!$J$109:$Q$109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</c:v>
                </c:pt>
                <c:pt idx="3">
                  <c:v>Cu</c:v>
                </c:pt>
                <c:pt idx="4">
                  <c:v>Ni</c:v>
                </c:pt>
                <c:pt idx="5">
                  <c:v>Pb</c:v>
                </c:pt>
                <c:pt idx="6">
                  <c:v>Unspecified</c:v>
                </c:pt>
                <c:pt idx="7">
                  <c:v>Zn</c:v>
                </c:pt>
              </c:strCache>
            </c:strRef>
          </c:cat>
          <c:val>
            <c:numRef>
              <c:f>'Invnetory Study Results'!$J$110:$Q$110</c:f>
              <c:numCache>
                <c:formatCode>0.00</c:formatCode>
                <c:ptCount val="8"/>
                <c:pt idx="0">
                  <c:v>9.5370068470818387E-2</c:v>
                </c:pt>
                <c:pt idx="1">
                  <c:v>4.7277469840234759E-2</c:v>
                </c:pt>
                <c:pt idx="2">
                  <c:v>1.8883816976415606E-2</c:v>
                </c:pt>
                <c:pt idx="3">
                  <c:v>2.4182154113683296E-3</c:v>
                </c:pt>
                <c:pt idx="4">
                  <c:v>0</c:v>
                </c:pt>
                <c:pt idx="5">
                  <c:v>4.7685034235409197E-3</c:v>
                </c:pt>
                <c:pt idx="6">
                  <c:v>0</c:v>
                </c:pt>
                <c:pt idx="7">
                  <c:v>1.8883816976415606E-2</c:v>
                </c:pt>
              </c:numCache>
            </c:numRef>
          </c:val>
        </c:ser>
        <c:ser>
          <c:idx val="1"/>
          <c:order val="1"/>
          <c:tx>
            <c:strRef>
              <c:f>'Invnetory Study Results'!$I$111</c:f>
              <c:strCache>
                <c:ptCount val="1"/>
                <c:pt idx="0">
                  <c:v>Best LLW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Results'!$J$109:$Q$109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</c:v>
                </c:pt>
                <c:pt idx="3">
                  <c:v>Cu</c:v>
                </c:pt>
                <c:pt idx="4">
                  <c:v>Ni</c:v>
                </c:pt>
                <c:pt idx="5">
                  <c:v>Pb</c:v>
                </c:pt>
                <c:pt idx="6">
                  <c:v>Unspecified</c:v>
                </c:pt>
                <c:pt idx="7">
                  <c:v>Zn</c:v>
                </c:pt>
              </c:strCache>
            </c:strRef>
          </c:cat>
          <c:val>
            <c:numRef>
              <c:f>'Invnetory Study Results'!$J$111:$Q$111</c:f>
              <c:numCache>
                <c:formatCode>0.00</c:formatCode>
                <c:ptCount val="8"/>
                <c:pt idx="0">
                  <c:v>7.2682317139441368</c:v>
                </c:pt>
                <c:pt idx="1">
                  <c:v>1.7851320508640367</c:v>
                </c:pt>
                <c:pt idx="2">
                  <c:v>5.1488968590370617E-2</c:v>
                </c:pt>
                <c:pt idx="3">
                  <c:v>7.9746766655798274E-2</c:v>
                </c:pt>
                <c:pt idx="4">
                  <c:v>0.16438430605368981</c:v>
                </c:pt>
                <c:pt idx="5">
                  <c:v>0.13408868601238996</c:v>
                </c:pt>
                <c:pt idx="6">
                  <c:v>3.5050537985001631</c:v>
                </c:pt>
                <c:pt idx="7">
                  <c:v>7.30898815346158E-3</c:v>
                </c:pt>
              </c:numCache>
            </c:numRef>
          </c:val>
        </c:ser>
        <c:ser>
          <c:idx val="2"/>
          <c:order val="2"/>
          <c:tx>
            <c:strRef>
              <c:f>'Invnetory Study Results'!$I$112</c:f>
              <c:strCache>
                <c:ptCount val="1"/>
                <c:pt idx="0">
                  <c:v>Best ILW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Results'!$J$109:$Q$109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</c:v>
                </c:pt>
                <c:pt idx="3">
                  <c:v>Cu</c:v>
                </c:pt>
                <c:pt idx="4">
                  <c:v>Ni</c:v>
                </c:pt>
                <c:pt idx="5">
                  <c:v>Pb</c:v>
                </c:pt>
                <c:pt idx="6">
                  <c:v>Unspecified</c:v>
                </c:pt>
                <c:pt idx="7">
                  <c:v>Zn</c:v>
                </c:pt>
              </c:strCache>
            </c:strRef>
          </c:cat>
          <c:val>
            <c:numRef>
              <c:f>'Invnetory Study Results'!$J$112:$Q$112</c:f>
              <c:numCache>
                <c:formatCode>0.00</c:formatCode>
                <c:ptCount val="8"/>
                <c:pt idx="0">
                  <c:v>17.389414194109339</c:v>
                </c:pt>
                <c:pt idx="1">
                  <c:v>14.264753831105315</c:v>
                </c:pt>
                <c:pt idx="2">
                  <c:v>0.42658406694924467</c:v>
                </c:pt>
                <c:pt idx="3">
                  <c:v>0.14400608629496794</c:v>
                </c:pt>
                <c:pt idx="4">
                  <c:v>1.1017824149548963</c:v>
                </c:pt>
                <c:pt idx="5">
                  <c:v>0.29208781654168026</c:v>
                </c:pt>
                <c:pt idx="6">
                  <c:v>2.6355830887946965</c:v>
                </c:pt>
                <c:pt idx="7">
                  <c:v>1.7117704597326377E-2</c:v>
                </c:pt>
              </c:numCache>
            </c:numRef>
          </c:val>
        </c:ser>
        <c:overlap val="100"/>
        <c:axId val="59638144"/>
        <c:axId val="59640064"/>
      </c:barChart>
      <c:catAx>
        <c:axId val="59638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Disposal of Waste Metals</a:t>
                </a:r>
              </a:p>
            </c:rich>
          </c:tx>
          <c:layout>
            <c:manualLayout>
              <c:xMode val="edge"/>
              <c:yMode val="edge"/>
              <c:x val="0.41666633017026722"/>
              <c:y val="0.8563554296197404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40064"/>
        <c:crosses val="autoZero"/>
        <c:auto val="1"/>
        <c:lblAlgn val="ctr"/>
        <c:lblOffset val="100"/>
        <c:tickLblSkip val="1"/>
        <c:tickMarkSkip val="1"/>
      </c:catAx>
      <c:valAx>
        <c:axId val="596400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Percentage of Total Worst Case Impact</a:t>
                </a:r>
              </a:p>
            </c:rich>
          </c:tx>
          <c:layout>
            <c:manualLayout>
              <c:xMode val="edge"/>
              <c:yMode val="edge"/>
              <c:x val="4.9242210108351843E-2"/>
              <c:y val="9.9448364802150593E-2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3814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602564102564108"/>
          <c:y val="4.8442906574394463E-2"/>
          <c:w val="0.34294871794871795"/>
          <c:h val="8.304498269896193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138" orientation="landscape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7.6767714630541106E-2"/>
          <c:y val="0.150183083029685"/>
          <c:w val="0.90909135746693404"/>
          <c:h val="0.67032937059591313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Results'!$AV$39</c:f>
              <c:strCache>
                <c:ptCount val="1"/>
                <c:pt idx="0">
                  <c:v>Baseline Disposal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'Invnetory Study Results'!$AU$40:$AU$47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</c:v>
                </c:pt>
                <c:pt idx="3">
                  <c:v>Drums 210l (VLLW)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to LLW</c:v>
                </c:pt>
              </c:strCache>
            </c:strRef>
          </c:cat>
          <c:val>
            <c:numRef>
              <c:f>'Invnetory Study Results'!$AV$40:$AV$47</c:f>
              <c:numCache>
                <c:formatCode>0.0</c:formatCode>
                <c:ptCount val="8"/>
                <c:pt idx="0">
                  <c:v>10.122448979591837</c:v>
                </c:pt>
                <c:pt idx="1">
                  <c:v>0</c:v>
                </c:pt>
                <c:pt idx="2">
                  <c:v>10.258503401360544</c:v>
                </c:pt>
                <c:pt idx="3">
                  <c:v>0</c:v>
                </c:pt>
                <c:pt idx="4">
                  <c:v>5.7414965986394551</c:v>
                </c:pt>
                <c:pt idx="5">
                  <c:v>25.442176870748302</c:v>
                </c:pt>
                <c:pt idx="6">
                  <c:v>48.435374149659864</c:v>
                </c:pt>
                <c:pt idx="7">
                  <c:v>0</c:v>
                </c:pt>
              </c:numCache>
            </c:numRef>
          </c:val>
        </c:ser>
        <c:ser>
          <c:idx val="2"/>
          <c:order val="1"/>
          <c:tx>
            <c:strRef>
              <c:f>'Invnetory Study Results'!$AX$39</c:f>
              <c:strCache>
                <c:ptCount val="1"/>
                <c:pt idx="0">
                  <c:v>Improved Disposal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cat>
            <c:strRef>
              <c:f>'Invnetory Study Results'!$AU$40:$AU$47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</c:v>
                </c:pt>
                <c:pt idx="3">
                  <c:v>Drums 210l (VLLW)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to LLW</c:v>
                </c:pt>
              </c:strCache>
            </c:strRef>
          </c:cat>
          <c:val>
            <c:numRef>
              <c:f>'Invnetory Study Results'!$AX$40:$AX$47</c:f>
              <c:numCache>
                <c:formatCode>0.0</c:formatCode>
                <c:ptCount val="8"/>
                <c:pt idx="0">
                  <c:v>7.5782312925170068</c:v>
                </c:pt>
                <c:pt idx="1">
                  <c:v>0.13605442176870747</c:v>
                </c:pt>
                <c:pt idx="2">
                  <c:v>4.0272108843537415</c:v>
                </c:pt>
                <c:pt idx="3">
                  <c:v>0.35918367346938773</c:v>
                </c:pt>
                <c:pt idx="4">
                  <c:v>0.18775510204081633</c:v>
                </c:pt>
                <c:pt idx="5">
                  <c:v>12.693877551020408</c:v>
                </c:pt>
                <c:pt idx="6">
                  <c:v>36.326530612244902</c:v>
                </c:pt>
                <c:pt idx="7">
                  <c:v>0.32653061224489799</c:v>
                </c:pt>
              </c:numCache>
            </c:numRef>
          </c:val>
        </c:ser>
        <c:axId val="59669504"/>
        <c:axId val="59683968"/>
      </c:barChart>
      <c:catAx>
        <c:axId val="596695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Life Cycle Product Stage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(Improved Disposal Impact is ~62% of the Baselin Impact)</a:t>
                </a:r>
              </a:p>
            </c:rich>
          </c:tx>
          <c:layout>
            <c:manualLayout>
              <c:xMode val="edge"/>
              <c:yMode val="edge"/>
              <c:x val="0.29352345974421046"/>
              <c:y val="0.9075834852385695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83968"/>
        <c:crosses val="autoZero"/>
        <c:auto val="1"/>
        <c:lblAlgn val="ctr"/>
        <c:lblOffset val="100"/>
        <c:tickLblSkip val="1"/>
        <c:tickMarkSkip val="1"/>
      </c:catAx>
      <c:valAx>
        <c:axId val="596839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Percentage of</a:t>
                </a:r>
                <a:r>
                  <a:rPr lang="en-GB" baseline="0"/>
                  <a:t> Total </a:t>
                </a:r>
                <a:r>
                  <a:rPr lang="en-GB" sz="900" baseline="0"/>
                  <a:t>B</a:t>
                </a:r>
                <a:r>
                  <a:rPr lang="en-GB" sz="900"/>
                  <a:t>aseline</a:t>
                </a:r>
                <a:r>
                  <a:rPr lang="en-GB"/>
                  <a:t> Disposal Impact</a:t>
                </a:r>
              </a:p>
            </c:rich>
          </c:tx>
          <c:layout>
            <c:manualLayout>
              <c:xMode val="edge"/>
              <c:yMode val="edge"/>
              <c:x val="1.3360785732172173E-3"/>
              <c:y val="0.14886011563590348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6950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21061965104712652"/>
          <c:y val="1.4319809069212411E-2"/>
          <c:w val="0.62300938797133221"/>
          <c:h val="8.5918854415274457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n-GB"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2097209179127809E-2"/>
          <c:y val="0.18546559397466603"/>
          <c:w val="0.90519805437164402"/>
          <c:h val="0.28447963026360806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Results'!$AV$63</c:f>
              <c:strCache>
                <c:ptCount val="1"/>
                <c:pt idx="0">
                  <c:v>Worst Case Disposal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'Invnetory Study Results'!$AU$64:$AU$74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Results'!$AV$64:$AV$74</c:f>
              <c:numCache>
                <c:formatCode>0.0</c:formatCode>
                <c:ptCount val="11"/>
                <c:pt idx="0">
                  <c:v>5.6734693877551017</c:v>
                </c:pt>
                <c:pt idx="1">
                  <c:v>3.5102040816326528E-2</c:v>
                </c:pt>
                <c:pt idx="2">
                  <c:v>41.768707482993193</c:v>
                </c:pt>
                <c:pt idx="3">
                  <c:v>10.19047619047619</c:v>
                </c:pt>
                <c:pt idx="4">
                  <c:v>0.18639455782312925</c:v>
                </c:pt>
                <c:pt idx="5">
                  <c:v>5.7006802721088438E-3</c:v>
                </c:pt>
                <c:pt idx="6">
                  <c:v>5.6326530612244898</c:v>
                </c:pt>
                <c:pt idx="7">
                  <c:v>1.2979591836734694</c:v>
                </c:pt>
                <c:pt idx="8">
                  <c:v>1.3564625850340135</c:v>
                </c:pt>
                <c:pt idx="9">
                  <c:v>8.0136054421768694</c:v>
                </c:pt>
                <c:pt idx="10">
                  <c:v>25.986394557823129</c:v>
                </c:pt>
              </c:numCache>
            </c:numRef>
          </c:val>
        </c:ser>
        <c:ser>
          <c:idx val="2"/>
          <c:order val="1"/>
          <c:tx>
            <c:strRef>
              <c:f>'Invnetory Study Results'!$AX$63</c:f>
              <c:strCache>
                <c:ptCount val="1"/>
                <c:pt idx="0">
                  <c:v>Best Case Disposal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Results'!$AU$64:$AU$74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Results'!$AX$64:$AX$74</c:f>
              <c:numCache>
                <c:formatCode>0.00</c:formatCode>
                <c:ptCount val="11"/>
                <c:pt idx="0">
                  <c:v>3.3741496598639453</c:v>
                </c:pt>
                <c:pt idx="1">
                  <c:v>2.110204081632653E-2</c:v>
                </c:pt>
                <c:pt idx="2">
                  <c:v>25.374149659863949</c:v>
                </c:pt>
                <c:pt idx="3">
                  <c:v>5.9210884353741502</c:v>
                </c:pt>
                <c:pt idx="4">
                  <c:v>0.11382312925170068</c:v>
                </c:pt>
                <c:pt idx="5">
                  <c:v>3.8448979591836734E-3</c:v>
                </c:pt>
                <c:pt idx="6">
                  <c:v>3.6190476190476191</c:v>
                </c:pt>
                <c:pt idx="7">
                  <c:v>0.78734693877551021</c:v>
                </c:pt>
                <c:pt idx="8">
                  <c:v>0.84952380952380957</c:v>
                </c:pt>
                <c:pt idx="9">
                  <c:v>5.074829931972789</c:v>
                </c:pt>
                <c:pt idx="10">
                  <c:v>16.421768707482993</c:v>
                </c:pt>
              </c:numCache>
            </c:numRef>
          </c:val>
        </c:ser>
        <c:axId val="59722368"/>
        <c:axId val="59736832"/>
      </c:barChart>
      <c:catAx>
        <c:axId val="59722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Impact Category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(Best Case Impact 62% of Worst Case Impact)</a:t>
                </a:r>
              </a:p>
            </c:rich>
          </c:tx>
          <c:layout>
            <c:manualLayout>
              <c:xMode val="edge"/>
              <c:yMode val="edge"/>
              <c:x val="0.43559729732578606"/>
              <c:y val="0.7518232228013751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736832"/>
        <c:crosses val="autoZero"/>
        <c:auto val="1"/>
        <c:lblAlgn val="ctr"/>
        <c:lblOffset val="100"/>
        <c:tickLblSkip val="1"/>
        <c:tickMarkSkip val="1"/>
      </c:catAx>
      <c:valAx>
        <c:axId val="597368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Percentage of Total Worst Case Disposal Impact</a:t>
                </a:r>
              </a:p>
            </c:rich>
          </c:tx>
          <c:layout>
            <c:manualLayout>
              <c:xMode val="edge"/>
              <c:yMode val="edge"/>
              <c:x val="7.6452090075085997E-3"/>
              <c:y val="0.16577501755942478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72236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299689044893485"/>
          <c:y val="4.3715943957709509E-2"/>
          <c:w val="0.93577909187054431"/>
          <c:h val="0.1803278991534508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8414900060569403"/>
          <c:y val="0.24870042620819202"/>
          <c:w val="0.79953288181634574"/>
          <c:h val="0.55775301596474802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Results'!$AV$97</c:f>
              <c:strCache>
                <c:ptCount val="1"/>
                <c:pt idx="0">
                  <c:v>% Worst Case Disposal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'Invnetory Study Results'!$AU$98:$AU$105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</c:v>
                </c:pt>
                <c:pt idx="3">
                  <c:v>Drums 210l (VLLW)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to LLW</c:v>
                </c:pt>
              </c:strCache>
            </c:strRef>
          </c:cat>
          <c:val>
            <c:numRef>
              <c:f>'Invnetory Study Results'!$AV$98:$AV$105</c:f>
              <c:numCache>
                <c:formatCode>0.0</c:formatCode>
                <c:ptCount val="8"/>
                <c:pt idx="0">
                  <c:v>10.122448979591837</c:v>
                </c:pt>
                <c:pt idx="1">
                  <c:v>0</c:v>
                </c:pt>
                <c:pt idx="2">
                  <c:v>10.258503401360544</c:v>
                </c:pt>
                <c:pt idx="3">
                  <c:v>0</c:v>
                </c:pt>
                <c:pt idx="4">
                  <c:v>5.7414965986394551</c:v>
                </c:pt>
                <c:pt idx="5">
                  <c:v>25.442176870748302</c:v>
                </c:pt>
                <c:pt idx="6">
                  <c:v>48.435374149659864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'Invnetory Study Results'!$AW$97</c:f>
              <c:strCache>
                <c:ptCount val="1"/>
                <c:pt idx="0">
                  <c:v>Recycling, UK, Limited Melting (NAFM)(% of Worst Case)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Results'!$AU$98:$AU$105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</c:v>
                </c:pt>
                <c:pt idx="3">
                  <c:v>Drums 210l (VLLW)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to LLW</c:v>
                </c:pt>
              </c:strCache>
            </c:strRef>
          </c:cat>
          <c:val>
            <c:numRef>
              <c:f>'Invnetory Study Results'!$AW$98:$AW$105</c:f>
              <c:numCache>
                <c:formatCode>0.0</c:formatCode>
                <c:ptCount val="8"/>
                <c:pt idx="0">
                  <c:v>7.5782312925170068</c:v>
                </c:pt>
                <c:pt idx="1">
                  <c:v>9.9455782312925164E-3</c:v>
                </c:pt>
                <c:pt idx="2">
                  <c:v>0.39319727891156464</c:v>
                </c:pt>
                <c:pt idx="3">
                  <c:v>3.4965986394557821E-2</c:v>
                </c:pt>
                <c:pt idx="4">
                  <c:v>0.10231292517006803</c:v>
                </c:pt>
                <c:pt idx="5">
                  <c:v>2.0408163265306123</c:v>
                </c:pt>
                <c:pt idx="6">
                  <c:v>36.326530612244902</c:v>
                </c:pt>
                <c:pt idx="7">
                  <c:v>3.1292517006802724E-2</c:v>
                </c:pt>
              </c:numCache>
            </c:numRef>
          </c:val>
        </c:ser>
        <c:ser>
          <c:idx val="2"/>
          <c:order val="2"/>
          <c:tx>
            <c:strRef>
              <c:f>'Invnetory Study Results'!$AX$97</c:f>
              <c:strCache>
                <c:ptCount val="1"/>
                <c:pt idx="0">
                  <c:v>Recycling, UK, Limited Mleting (AFM)(% of Worst Case)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Results'!$AU$98:$AU$105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</c:v>
                </c:pt>
                <c:pt idx="3">
                  <c:v>Drums 210l (VLLW)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to LLW</c:v>
                </c:pt>
              </c:strCache>
            </c:strRef>
          </c:cat>
          <c:val>
            <c:numRef>
              <c:f>'Invnetory Study Results'!$AX$98:$AX$105</c:f>
              <c:numCache>
                <c:formatCode>0.0</c:formatCode>
                <c:ptCount val="8"/>
                <c:pt idx="0">
                  <c:v>7.5782312925170068</c:v>
                </c:pt>
                <c:pt idx="1">
                  <c:v>9.9455782312925164E-3</c:v>
                </c:pt>
                <c:pt idx="2">
                  <c:v>0.39319727891156464</c:v>
                </c:pt>
                <c:pt idx="3">
                  <c:v>3.4965986394557821E-2</c:v>
                </c:pt>
                <c:pt idx="4">
                  <c:v>-1.9183673469387756</c:v>
                </c:pt>
                <c:pt idx="5">
                  <c:v>-5.1564625850340136</c:v>
                </c:pt>
                <c:pt idx="6">
                  <c:v>36.326530612244902</c:v>
                </c:pt>
                <c:pt idx="7">
                  <c:v>3.1292517006802724E-2</c:v>
                </c:pt>
              </c:numCache>
            </c:numRef>
          </c:val>
        </c:ser>
        <c:axId val="59791616"/>
        <c:axId val="59797888"/>
      </c:barChart>
      <c:catAx>
        <c:axId val="597916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Product Stage Impact</a:t>
                </a:r>
              </a:p>
            </c:rich>
          </c:tx>
          <c:layout>
            <c:manualLayout>
              <c:xMode val="edge"/>
              <c:yMode val="edge"/>
              <c:x val="0.46082917985767241"/>
              <c:y val="0.8701943404615406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797888"/>
        <c:crosses val="autoZero"/>
        <c:auto val="1"/>
        <c:lblAlgn val="ctr"/>
        <c:lblOffset val="100"/>
        <c:tickLblSkip val="1"/>
        <c:tickMarkSkip val="1"/>
      </c:catAx>
      <c:valAx>
        <c:axId val="597978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Total Worst Case Diposal Impact</a:t>
                </a:r>
              </a:p>
            </c:rich>
          </c:tx>
          <c:layout>
            <c:manualLayout>
              <c:xMode val="edge"/>
              <c:yMode val="edge"/>
              <c:x val="3.4562329193386906E-2"/>
              <c:y val="0.197115442536896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79161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954786672909176"/>
          <c:y val="4.9315068493150684E-2"/>
          <c:w val="0.61728519098265289"/>
          <c:h val="0.178082191780821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 horizontalDpi="300" verticalDpi="300"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41776937618147"/>
          <c:y val="0.183253874087657"/>
          <c:w val="0.85066117916734896"/>
          <c:h val="0.47716823068349301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Results'!$BE$97</c:f>
              <c:strCache>
                <c:ptCount val="1"/>
                <c:pt idx="0">
                  <c:v>Baseline Disposal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'Invnetory Study Results'!$BD$98:$BD$105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</c:v>
                </c:pt>
                <c:pt idx="3">
                  <c:v>Drums 210l (VLLW)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to LLW</c:v>
                </c:pt>
              </c:strCache>
            </c:strRef>
          </c:cat>
          <c:val>
            <c:numRef>
              <c:f>'Invnetory Study Results'!$BE$98:$BE$105</c:f>
              <c:numCache>
                <c:formatCode>0.0</c:formatCode>
                <c:ptCount val="8"/>
                <c:pt idx="0">
                  <c:v>10.122448979591837</c:v>
                </c:pt>
                <c:pt idx="1">
                  <c:v>0</c:v>
                </c:pt>
                <c:pt idx="2">
                  <c:v>10.258503401360544</c:v>
                </c:pt>
                <c:pt idx="3">
                  <c:v>0</c:v>
                </c:pt>
                <c:pt idx="4">
                  <c:v>5.7414965986394551</c:v>
                </c:pt>
                <c:pt idx="5">
                  <c:v>25.442176870748302</c:v>
                </c:pt>
                <c:pt idx="6">
                  <c:v>48.435374149659864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'Invnetory Study Results'!$BG$97</c:f>
              <c:strCache>
                <c:ptCount val="1"/>
                <c:pt idx="0">
                  <c:v>International Treatment Without Recycling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Results'!$BD$98:$BD$105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</c:v>
                </c:pt>
                <c:pt idx="3">
                  <c:v>Drums 210l (VLLW)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to LLW</c:v>
                </c:pt>
              </c:strCache>
            </c:strRef>
          </c:cat>
          <c:val>
            <c:numRef>
              <c:f>'Invnetory Study Results'!$BG$98:$BG$105</c:f>
              <c:numCache>
                <c:formatCode>0.0</c:formatCode>
                <c:ptCount val="8"/>
                <c:pt idx="0">
                  <c:v>7.5782312925170068</c:v>
                </c:pt>
                <c:pt idx="1">
                  <c:v>9.9455782312925164E-3</c:v>
                </c:pt>
                <c:pt idx="2">
                  <c:v>0.39319727891156464</c:v>
                </c:pt>
                <c:pt idx="3">
                  <c:v>3.4965986394557821E-2</c:v>
                </c:pt>
                <c:pt idx="4">
                  <c:v>0.10231292517006803</c:v>
                </c:pt>
                <c:pt idx="5">
                  <c:v>2.4489795918367347</c:v>
                </c:pt>
                <c:pt idx="6">
                  <c:v>36.326530612244902</c:v>
                </c:pt>
                <c:pt idx="7">
                  <c:v>3.9727891156462587E-2</c:v>
                </c:pt>
              </c:numCache>
            </c:numRef>
          </c:val>
        </c:ser>
        <c:ser>
          <c:idx val="2"/>
          <c:order val="2"/>
          <c:tx>
            <c:strRef>
              <c:f>'Invnetory Study Results'!$BH$97</c:f>
              <c:strCache>
                <c:ptCount val="1"/>
                <c:pt idx="0">
                  <c:v>International Treatment With Recycling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Results'!$BD$98:$BD$105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</c:v>
                </c:pt>
                <c:pt idx="3">
                  <c:v>Drums 210l (VLLW)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to LLW</c:v>
                </c:pt>
              </c:strCache>
            </c:strRef>
          </c:cat>
          <c:val>
            <c:numRef>
              <c:f>'Invnetory Study Results'!$BH$98:$BH$105</c:f>
              <c:numCache>
                <c:formatCode>0.0</c:formatCode>
                <c:ptCount val="8"/>
                <c:pt idx="0">
                  <c:v>7.5782312925170068</c:v>
                </c:pt>
                <c:pt idx="1">
                  <c:v>9.9455782312925164E-3</c:v>
                </c:pt>
                <c:pt idx="2">
                  <c:v>0.39319727891156464</c:v>
                </c:pt>
                <c:pt idx="3">
                  <c:v>3.4965986394557821E-2</c:v>
                </c:pt>
                <c:pt idx="4">
                  <c:v>-1.9183673469387756</c:v>
                </c:pt>
                <c:pt idx="5">
                  <c:v>-4.7482993197278907</c:v>
                </c:pt>
                <c:pt idx="6">
                  <c:v>36.326530612244902</c:v>
                </c:pt>
                <c:pt idx="7">
                  <c:v>3.1292517006802724E-2</c:v>
                </c:pt>
              </c:numCache>
            </c:numRef>
          </c:val>
        </c:ser>
        <c:axId val="59844480"/>
        <c:axId val="59863040"/>
      </c:barChart>
      <c:catAx>
        <c:axId val="59844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Product Stage Impact</a:t>
                </a:r>
              </a:p>
            </c:rich>
          </c:tx>
          <c:layout>
            <c:manualLayout>
              <c:xMode val="edge"/>
              <c:yMode val="edge"/>
              <c:x val="0.45909106189312543"/>
              <c:y val="0.8840592057140398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863040"/>
        <c:crosses val="autoZero"/>
        <c:auto val="1"/>
        <c:lblAlgn val="ctr"/>
        <c:lblOffset val="100"/>
        <c:tickLblSkip val="1"/>
        <c:tickMarkSkip val="1"/>
      </c:catAx>
      <c:valAx>
        <c:axId val="598630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Percenatge of Total Worst Case Diposal Impact</a:t>
                </a:r>
              </a:p>
            </c:rich>
          </c:tx>
          <c:layout>
            <c:manualLayout>
              <c:xMode val="edge"/>
              <c:yMode val="edge"/>
              <c:x val="2.2727331497355934E-2"/>
              <c:y val="0.2093352265393055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84448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2854427679298708"/>
          <c:y val="3.2109920686143739E-2"/>
          <c:w val="0.90359136142464958"/>
          <c:h val="0.1471445577499533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 horizontalDpi="300" verticalDpi="300"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210772893979187"/>
          <c:y val="0.19858147432303999"/>
          <c:w val="0.76580818145771401"/>
          <c:h val="0.41134733966915504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Results'!$AV$108</c:f>
              <c:strCache>
                <c:ptCount val="1"/>
                <c:pt idx="0">
                  <c:v>% Worst Case Disposal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'Invnetory Study Results'!$AU$109:$AU$119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Results'!$AV$109:$AV$119</c:f>
              <c:numCache>
                <c:formatCode>0.0</c:formatCode>
                <c:ptCount val="11"/>
                <c:pt idx="0">
                  <c:v>5.6734693877551017</c:v>
                </c:pt>
                <c:pt idx="1">
                  <c:v>3.5102040816326528E-2</c:v>
                </c:pt>
                <c:pt idx="2">
                  <c:v>41.768707482993193</c:v>
                </c:pt>
                <c:pt idx="3">
                  <c:v>10.19047619047619</c:v>
                </c:pt>
                <c:pt idx="4">
                  <c:v>0.18639455782312925</c:v>
                </c:pt>
                <c:pt idx="5">
                  <c:v>5.7006802721088438E-3</c:v>
                </c:pt>
                <c:pt idx="6">
                  <c:v>5.6326530612244898</c:v>
                </c:pt>
                <c:pt idx="7">
                  <c:v>1.2979591836734694</c:v>
                </c:pt>
                <c:pt idx="8">
                  <c:v>1.3564625850340135</c:v>
                </c:pt>
                <c:pt idx="9">
                  <c:v>8.0136054421768694</c:v>
                </c:pt>
                <c:pt idx="10">
                  <c:v>25.986394557823129</c:v>
                </c:pt>
              </c:numCache>
            </c:numRef>
          </c:val>
        </c:ser>
        <c:ser>
          <c:idx val="1"/>
          <c:order val="1"/>
          <c:tx>
            <c:strRef>
              <c:f>'Invnetory Study Results'!$AW$108</c:f>
              <c:strCache>
                <c:ptCount val="1"/>
                <c:pt idx="0">
                  <c:v>Recycling, UK, Limited Melting (NAFM)(% of Worst Case)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Results'!$AU$109:$AU$119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Results'!$AW$109:$AW$119</c:f>
              <c:numCache>
                <c:formatCode>0.0</c:formatCode>
                <c:ptCount val="11"/>
                <c:pt idx="0">
                  <c:v>2.4589721849489434</c:v>
                </c:pt>
                <c:pt idx="1">
                  <c:v>1.5487449120672904E-2</c:v>
                </c:pt>
                <c:pt idx="2">
                  <c:v>18.883819541873102</c:v>
                </c:pt>
                <c:pt idx="3">
                  <c:v>4.0077170970162346</c:v>
                </c:pt>
                <c:pt idx="4">
                  <c:v>8.477340571315696E-2</c:v>
                </c:pt>
                <c:pt idx="5">
                  <c:v>3.369199457830597E-3</c:v>
                </c:pt>
                <c:pt idx="6">
                  <c:v>2.9888059706561747</c:v>
                </c:pt>
                <c:pt idx="7">
                  <c:v>0.58281716427795405</c:v>
                </c:pt>
                <c:pt idx="8">
                  <c:v>0.42522557673426487</c:v>
                </c:pt>
                <c:pt idx="9">
                  <c:v>4.0484735420706368</c:v>
                </c:pt>
                <c:pt idx="10">
                  <c:v>12.960549527299959</c:v>
                </c:pt>
              </c:numCache>
            </c:numRef>
          </c:val>
        </c:ser>
        <c:ser>
          <c:idx val="2"/>
          <c:order val="2"/>
          <c:tx>
            <c:strRef>
              <c:f>'Invnetory Study Results'!$AX$108</c:f>
              <c:strCache>
                <c:ptCount val="1"/>
                <c:pt idx="0">
                  <c:v>Recycling, UK, Limited Melting (AFM)(% of Worst Case)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Results'!$AU$109:$AU$119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Results'!$AX$109:$AX$119</c:f>
              <c:numCache>
                <c:formatCode>0.0</c:formatCode>
                <c:ptCount val="11"/>
                <c:pt idx="0">
                  <c:v>2.3231173681009358</c:v>
                </c:pt>
                <c:pt idx="1">
                  <c:v>1.3571896203115993E-2</c:v>
                </c:pt>
                <c:pt idx="2">
                  <c:v>12.036736772733503</c:v>
                </c:pt>
                <c:pt idx="3">
                  <c:v>3.1518317508737841</c:v>
                </c:pt>
                <c:pt idx="4">
                  <c:v>8.2463873826740822E-2</c:v>
                </c:pt>
                <c:pt idx="5">
                  <c:v>3.2876865677217921E-3</c:v>
                </c:pt>
                <c:pt idx="6">
                  <c:v>2.8121947087537644</c:v>
                </c:pt>
                <c:pt idx="7">
                  <c:v>0.47956750347346805</c:v>
                </c:pt>
                <c:pt idx="8">
                  <c:v>0.35593962014178082</c:v>
                </c:pt>
                <c:pt idx="9">
                  <c:v>3.8990332435378279</c:v>
                </c:pt>
                <c:pt idx="10">
                  <c:v>12.063907736103104</c:v>
                </c:pt>
              </c:numCache>
            </c:numRef>
          </c:val>
        </c:ser>
        <c:axId val="59974784"/>
        <c:axId val="59976704"/>
      </c:barChart>
      <c:catAx>
        <c:axId val="599747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813088653174552"/>
              <c:y val="0.897162901366301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976704"/>
        <c:crosses val="autoZero"/>
        <c:auto val="1"/>
        <c:lblAlgn val="ctr"/>
        <c:lblOffset val="100"/>
        <c:tickLblSkip val="2"/>
        <c:tickMarkSkip val="1"/>
      </c:catAx>
      <c:valAx>
        <c:axId val="599767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Percentage of Total Worst Case Diposal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Impact</a:t>
                </a:r>
              </a:p>
            </c:rich>
          </c:tx>
          <c:layout>
            <c:manualLayout>
              <c:xMode val="edge"/>
              <c:yMode val="edge"/>
              <c:x val="3.0373744604238518E-2"/>
              <c:y val="8.1560330659602137E-2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97478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169865606127081"/>
          <c:y val="1.6355140186915886E-2"/>
          <c:w val="0.43271309020989057"/>
          <c:h val="0.1401869158878504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5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 horizontalDpi="300" verticalDpi="300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3.8007851534389715E-2"/>
          <c:y val="0.11363622852328004"/>
          <c:w val="0.95281751950004601"/>
          <c:h val="0.61038888463933205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Results'!$BE$108</c:f>
              <c:strCache>
                <c:ptCount val="1"/>
                <c:pt idx="0">
                  <c:v>Baseline Disposal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'Invnetory Study Results'!$BD$109:$BD$119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Results'!$BE$109:$BE$119</c:f>
              <c:numCache>
                <c:formatCode>0.0</c:formatCode>
                <c:ptCount val="11"/>
                <c:pt idx="0">
                  <c:v>5.6734693877551017</c:v>
                </c:pt>
                <c:pt idx="1">
                  <c:v>3.5102040816326528E-2</c:v>
                </c:pt>
                <c:pt idx="2">
                  <c:v>41.768707482993193</c:v>
                </c:pt>
                <c:pt idx="3">
                  <c:v>10.19047619047619</c:v>
                </c:pt>
                <c:pt idx="4">
                  <c:v>0.18639455782312925</c:v>
                </c:pt>
                <c:pt idx="5">
                  <c:v>5.7006802721088438E-3</c:v>
                </c:pt>
                <c:pt idx="6">
                  <c:v>5.6326530612244898</c:v>
                </c:pt>
                <c:pt idx="7">
                  <c:v>1.2979591836734694</c:v>
                </c:pt>
                <c:pt idx="8">
                  <c:v>1.3564625850340135</c:v>
                </c:pt>
                <c:pt idx="9">
                  <c:v>8.0136054421768694</c:v>
                </c:pt>
                <c:pt idx="10">
                  <c:v>25.986394557823129</c:v>
                </c:pt>
              </c:numCache>
            </c:numRef>
          </c:val>
        </c:ser>
        <c:ser>
          <c:idx val="1"/>
          <c:order val="1"/>
          <c:tx>
            <c:strRef>
              <c:f>'Invnetory Study Results'!$BG$108</c:f>
              <c:strCache>
                <c:ptCount val="1"/>
                <c:pt idx="0">
                  <c:v>International Treatment Without Recycling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Results'!$BD$109:$BD$119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Results'!$BG$109:$BG$119</c:f>
              <c:numCache>
                <c:formatCode>0.0</c:formatCode>
                <c:ptCount val="11"/>
                <c:pt idx="0">
                  <c:v>2.4997286300033461</c:v>
                </c:pt>
                <c:pt idx="1">
                  <c:v>1.5623303937520913E-2</c:v>
                </c:pt>
                <c:pt idx="2">
                  <c:v>19.019674358721112</c:v>
                </c:pt>
                <c:pt idx="3">
                  <c:v>4.0348880603858355</c:v>
                </c:pt>
                <c:pt idx="4">
                  <c:v>8.477340571315696E-2</c:v>
                </c:pt>
                <c:pt idx="5">
                  <c:v>3.3827849395153976E-3</c:v>
                </c:pt>
                <c:pt idx="6">
                  <c:v>3.015976934025776</c:v>
                </c:pt>
                <c:pt idx="7">
                  <c:v>0.59232700145731465</c:v>
                </c:pt>
                <c:pt idx="8">
                  <c:v>0.42658412490274489</c:v>
                </c:pt>
                <c:pt idx="9">
                  <c:v>4.0484735420706368</c:v>
                </c:pt>
                <c:pt idx="10">
                  <c:v>13.082818862463164</c:v>
                </c:pt>
              </c:numCache>
            </c:numRef>
          </c:val>
        </c:ser>
        <c:ser>
          <c:idx val="2"/>
          <c:order val="2"/>
          <c:tx>
            <c:strRef>
              <c:f>'Invnetory Study Results'!$BH$108</c:f>
              <c:strCache>
                <c:ptCount val="1"/>
                <c:pt idx="0">
                  <c:v>International Treatement With Recycling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Results'!$BD$109:$BD$119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Results'!$BH$109:$BH$119</c:f>
              <c:numCache>
                <c:formatCode>0.0</c:formatCode>
                <c:ptCount val="11"/>
                <c:pt idx="0">
                  <c:v>2.377459294840139</c:v>
                </c:pt>
                <c:pt idx="1">
                  <c:v>1.3721336501648803E-2</c:v>
                </c:pt>
                <c:pt idx="2">
                  <c:v>12.226933516320715</c:v>
                </c:pt>
                <c:pt idx="3">
                  <c:v>3.1790027142433854</c:v>
                </c:pt>
                <c:pt idx="4">
                  <c:v>8.2599728643588832E-2</c:v>
                </c:pt>
                <c:pt idx="5">
                  <c:v>3.3012720494065926E-3</c:v>
                </c:pt>
                <c:pt idx="6">
                  <c:v>2.8393656721233658</c:v>
                </c:pt>
                <c:pt idx="7">
                  <c:v>0.4890773406528286</c:v>
                </c:pt>
                <c:pt idx="8">
                  <c:v>0.3572981683102609</c:v>
                </c:pt>
                <c:pt idx="9">
                  <c:v>3.8990332435378279</c:v>
                </c:pt>
                <c:pt idx="10">
                  <c:v>12.186177071266311</c:v>
                </c:pt>
              </c:numCache>
            </c:numRef>
          </c:val>
        </c:ser>
        <c:axId val="60024320"/>
        <c:axId val="60026240"/>
      </c:barChart>
      <c:catAx>
        <c:axId val="600243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517642308286125"/>
              <c:y val="0.9081277340332458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026240"/>
        <c:crosses val="autoZero"/>
        <c:auto val="1"/>
        <c:lblAlgn val="ctr"/>
        <c:lblOffset val="100"/>
        <c:tickLblSkip val="1"/>
        <c:tickMarkSkip val="1"/>
      </c:catAx>
      <c:valAx>
        <c:axId val="600262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Total Worst Case Disposal Impact</a:t>
                </a:r>
              </a:p>
            </c:rich>
          </c:tx>
          <c:layout>
            <c:manualLayout>
              <c:xMode val="edge"/>
              <c:yMode val="edge"/>
              <c:x val="9.4117647058823539E-3"/>
              <c:y val="8.8339278103057625E-2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02432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859728506787331"/>
          <c:y val="1.4989293361884369E-2"/>
          <c:w val="0.53733031674208143"/>
          <c:h val="0.1070663811563169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 horizontalDpi="300" verticalDpi="300"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8867943099093704"/>
          <c:y val="0.19047584960970798"/>
          <c:w val="0.79245375872827195"/>
          <c:h val="0.48484746224903708"/>
        </c:manualLayout>
      </c:layout>
      <c:barChart>
        <c:barDir val="col"/>
        <c:grouping val="stacked"/>
        <c:ser>
          <c:idx val="0"/>
          <c:order val="0"/>
          <c:tx>
            <c:strRef>
              <c:f>'Invnetory Study Results'!$I$137</c:f>
              <c:strCache>
                <c:ptCount val="1"/>
                <c:pt idx="0">
                  <c:v>VLLW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Results'!$J$136:$Q$136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</c:v>
                </c:pt>
                <c:pt idx="3">
                  <c:v>Cu</c:v>
                </c:pt>
                <c:pt idx="4">
                  <c:v>Ni</c:v>
                </c:pt>
                <c:pt idx="5">
                  <c:v>Pb</c:v>
                </c:pt>
                <c:pt idx="6">
                  <c:v>Unspecified</c:v>
                </c:pt>
                <c:pt idx="7">
                  <c:v>Zn</c:v>
                </c:pt>
              </c:strCache>
            </c:strRef>
          </c:cat>
          <c:val>
            <c:numRef>
              <c:f>'Invnetory Study Results'!$J$137:$Q$137</c:f>
              <c:numCache>
                <c:formatCode>0.00</c:formatCode>
                <c:ptCount val="8"/>
                <c:pt idx="0">
                  <c:v>0.05</c:v>
                </c:pt>
                <c:pt idx="1">
                  <c:v>0.02</c:v>
                </c:pt>
                <c:pt idx="2">
                  <c:v>0.01</c:v>
                </c:pt>
                <c:pt idx="3">
                  <c:v>3.0000000000000001E-3</c:v>
                </c:pt>
                <c:pt idx="4">
                  <c:v>0</c:v>
                </c:pt>
                <c:pt idx="5">
                  <c:v>3.0000000000000001E-3</c:v>
                </c:pt>
                <c:pt idx="6">
                  <c:v>0</c:v>
                </c:pt>
                <c:pt idx="7">
                  <c:v>0.01</c:v>
                </c:pt>
              </c:numCache>
            </c:numRef>
          </c:val>
        </c:ser>
        <c:ser>
          <c:idx val="1"/>
          <c:order val="1"/>
          <c:tx>
            <c:strRef>
              <c:f>'Invnetory Study Results'!$I$138</c:f>
              <c:strCache>
                <c:ptCount val="1"/>
                <c:pt idx="0">
                  <c:v>LLW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Results'!$J$136:$Q$136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</c:v>
                </c:pt>
                <c:pt idx="3">
                  <c:v>Cu</c:v>
                </c:pt>
                <c:pt idx="4">
                  <c:v>Ni</c:v>
                </c:pt>
                <c:pt idx="5">
                  <c:v>Pb</c:v>
                </c:pt>
                <c:pt idx="6">
                  <c:v>Unspecified</c:v>
                </c:pt>
                <c:pt idx="7">
                  <c:v>Zn</c:v>
                </c:pt>
              </c:strCache>
            </c:strRef>
          </c:cat>
          <c:val>
            <c:numRef>
              <c:f>'Invnetory Study Results'!$J$138:$Q$138</c:f>
              <c:numCache>
                <c:formatCode>0.00</c:formatCode>
                <c:ptCount val="8"/>
                <c:pt idx="0">
                  <c:v>1.1299999999999999</c:v>
                </c:pt>
                <c:pt idx="1">
                  <c:v>0.27</c:v>
                </c:pt>
                <c:pt idx="2">
                  <c:v>0.01</c:v>
                </c:pt>
                <c:pt idx="3">
                  <c:v>3.0000000000000001E-3</c:v>
                </c:pt>
                <c:pt idx="4">
                  <c:v>0.03</c:v>
                </c:pt>
                <c:pt idx="5">
                  <c:v>0.03</c:v>
                </c:pt>
                <c:pt idx="6">
                  <c:v>0.56000000000000005</c:v>
                </c:pt>
                <c:pt idx="7">
                  <c:v>1E-3</c:v>
                </c:pt>
              </c:numCache>
            </c:numRef>
          </c:val>
        </c:ser>
        <c:ser>
          <c:idx val="2"/>
          <c:order val="2"/>
          <c:tx>
            <c:strRef>
              <c:f>'Invnetory Study Results'!$I$139</c:f>
              <c:strCache>
                <c:ptCount val="1"/>
                <c:pt idx="0">
                  <c:v>ILW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Results'!$J$136:$Q$136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</c:v>
                </c:pt>
                <c:pt idx="3">
                  <c:v>Cu</c:v>
                </c:pt>
                <c:pt idx="4">
                  <c:v>Ni</c:v>
                </c:pt>
                <c:pt idx="5">
                  <c:v>Pb</c:v>
                </c:pt>
                <c:pt idx="6">
                  <c:v>Unspecified</c:v>
                </c:pt>
                <c:pt idx="7">
                  <c:v>Zn</c:v>
                </c:pt>
              </c:strCache>
            </c:strRef>
          </c:cat>
          <c:val>
            <c:numRef>
              <c:f>'Invnetory Study Results'!$J$139:$Q$139</c:f>
              <c:numCache>
                <c:formatCode>0.00</c:formatCode>
                <c:ptCount val="8"/>
                <c:pt idx="0">
                  <c:v>17.39</c:v>
                </c:pt>
                <c:pt idx="1">
                  <c:v>14.26</c:v>
                </c:pt>
                <c:pt idx="2">
                  <c:v>0.43</c:v>
                </c:pt>
                <c:pt idx="3">
                  <c:v>0.14399999999999999</c:v>
                </c:pt>
                <c:pt idx="4">
                  <c:v>1.1000000000000001</c:v>
                </c:pt>
                <c:pt idx="5">
                  <c:v>0.28999999999999998</c:v>
                </c:pt>
                <c:pt idx="6">
                  <c:v>2.64</c:v>
                </c:pt>
                <c:pt idx="7">
                  <c:v>0.02</c:v>
                </c:pt>
              </c:numCache>
            </c:numRef>
          </c:val>
        </c:ser>
        <c:overlap val="100"/>
        <c:axId val="60089088"/>
        <c:axId val="60091008"/>
      </c:barChart>
      <c:catAx>
        <c:axId val="600890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UK Recycling Case Impact by Waste Metal with No Avoided Products</a:t>
                </a:r>
              </a:p>
            </c:rich>
          </c:tx>
          <c:layout>
            <c:manualLayout>
              <c:xMode val="edge"/>
              <c:yMode val="edge"/>
              <c:x val="0.21411771059481763"/>
              <c:y val="0.8831150297829538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091008"/>
        <c:crosses val="autoZero"/>
        <c:auto val="1"/>
        <c:lblAlgn val="ctr"/>
        <c:lblOffset val="100"/>
        <c:tickLblSkip val="1"/>
        <c:tickMarkSkip val="1"/>
      </c:catAx>
      <c:valAx>
        <c:axId val="600910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Percentage of Total Worst Case  Disposal Impact</a:t>
                </a:r>
              </a:p>
            </c:rich>
          </c:tx>
          <c:layout>
            <c:manualLayout>
              <c:xMode val="edge"/>
              <c:yMode val="edge"/>
              <c:x val="3.0588336951708196E-2"/>
              <c:y val="8.6579596712087634E-2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08908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2674897119341568"/>
          <c:y val="3.8922155688622756E-2"/>
          <c:w val="0.14609053497942387"/>
          <c:h val="5.988023952095808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 horizontalDpi="300" verticalDpi="300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8360683856954123E-2"/>
          <c:y val="0.14410488030972801"/>
          <c:w val="0.88290423366837423"/>
          <c:h val="0.68558988510991892"/>
        </c:manualLayout>
      </c:layout>
      <c:barChart>
        <c:barDir val="col"/>
        <c:grouping val="stacked"/>
        <c:ser>
          <c:idx val="0"/>
          <c:order val="0"/>
          <c:tx>
            <c:strRef>
              <c:f>'Invnetory Study Results'!$I$141</c:f>
              <c:strCache>
                <c:ptCount val="1"/>
                <c:pt idx="0">
                  <c:v>VLLW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Results'!$J$140:$Q$140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</c:v>
                </c:pt>
                <c:pt idx="3">
                  <c:v>Cu</c:v>
                </c:pt>
                <c:pt idx="4">
                  <c:v>Ni</c:v>
                </c:pt>
                <c:pt idx="5">
                  <c:v>Pb</c:v>
                </c:pt>
                <c:pt idx="6">
                  <c:v>Unspecified</c:v>
                </c:pt>
                <c:pt idx="7">
                  <c:v>Zn</c:v>
                </c:pt>
              </c:strCache>
            </c:strRef>
          </c:cat>
          <c:val>
            <c:numRef>
              <c:f>'Invnetory Study Results'!$J$141:$Q$141</c:f>
              <c:numCache>
                <c:formatCode>0.00</c:formatCode>
                <c:ptCount val="8"/>
                <c:pt idx="0">
                  <c:v>-0.97</c:v>
                </c:pt>
                <c:pt idx="1">
                  <c:v>-0.48</c:v>
                </c:pt>
                <c:pt idx="2">
                  <c:v>-0.16</c:v>
                </c:pt>
                <c:pt idx="3">
                  <c:v>-7.0000000000000007E-2</c:v>
                </c:pt>
                <c:pt idx="4">
                  <c:v>0</c:v>
                </c:pt>
                <c:pt idx="5">
                  <c:v>-0.02</c:v>
                </c:pt>
                <c:pt idx="6">
                  <c:v>0</c:v>
                </c:pt>
                <c:pt idx="7">
                  <c:v>-0.21</c:v>
                </c:pt>
              </c:numCache>
            </c:numRef>
          </c:val>
        </c:ser>
        <c:ser>
          <c:idx val="1"/>
          <c:order val="1"/>
          <c:tx>
            <c:strRef>
              <c:f>'Invnetory Study Results'!$I$142</c:f>
              <c:strCache>
                <c:ptCount val="1"/>
                <c:pt idx="0">
                  <c:v>LLW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Results'!$J$140:$Q$140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</c:v>
                </c:pt>
                <c:pt idx="3">
                  <c:v>Cu</c:v>
                </c:pt>
                <c:pt idx="4">
                  <c:v>Ni</c:v>
                </c:pt>
                <c:pt idx="5">
                  <c:v>Pb</c:v>
                </c:pt>
                <c:pt idx="6">
                  <c:v>Unspecified</c:v>
                </c:pt>
                <c:pt idx="7">
                  <c:v>Zn</c:v>
                </c:pt>
              </c:strCache>
            </c:strRef>
          </c:cat>
          <c:val>
            <c:numRef>
              <c:f>'Invnetory Study Results'!$J$142:$Q$142</c:f>
              <c:numCache>
                <c:formatCode>0.00</c:formatCode>
                <c:ptCount val="8"/>
                <c:pt idx="0">
                  <c:v>-2.59</c:v>
                </c:pt>
                <c:pt idx="1">
                  <c:v>-0.55000000000000004</c:v>
                </c:pt>
                <c:pt idx="2">
                  <c:v>-0.01</c:v>
                </c:pt>
                <c:pt idx="3">
                  <c:v>-0.13</c:v>
                </c:pt>
                <c:pt idx="4">
                  <c:v>-0.02</c:v>
                </c:pt>
                <c:pt idx="5">
                  <c:v>-0.01</c:v>
                </c:pt>
                <c:pt idx="6">
                  <c:v>-1.88</c:v>
                </c:pt>
                <c:pt idx="7">
                  <c:v>4.0000000000000001E-3</c:v>
                </c:pt>
              </c:numCache>
            </c:numRef>
          </c:val>
        </c:ser>
        <c:ser>
          <c:idx val="2"/>
          <c:order val="2"/>
          <c:tx>
            <c:strRef>
              <c:f>'Invnetory Study Results'!$I$143</c:f>
              <c:strCache>
                <c:ptCount val="1"/>
                <c:pt idx="0">
                  <c:v>ILW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Results'!$J$140:$Q$140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</c:v>
                </c:pt>
                <c:pt idx="3">
                  <c:v>Cu</c:v>
                </c:pt>
                <c:pt idx="4">
                  <c:v>Ni</c:v>
                </c:pt>
                <c:pt idx="5">
                  <c:v>Pb</c:v>
                </c:pt>
                <c:pt idx="6">
                  <c:v>Unspecified</c:v>
                </c:pt>
                <c:pt idx="7">
                  <c:v>Zn</c:v>
                </c:pt>
              </c:strCache>
            </c:strRef>
          </c:cat>
          <c:val>
            <c:numRef>
              <c:f>'Invnetory Study Results'!$J$143:$Q$143</c:f>
              <c:numCache>
                <c:formatCode>0.00</c:formatCode>
                <c:ptCount val="8"/>
                <c:pt idx="0">
                  <c:v>17.39</c:v>
                </c:pt>
                <c:pt idx="1">
                  <c:v>14.26</c:v>
                </c:pt>
                <c:pt idx="2">
                  <c:v>0.43</c:v>
                </c:pt>
                <c:pt idx="3">
                  <c:v>0.14399999999999999</c:v>
                </c:pt>
                <c:pt idx="4">
                  <c:v>1.1000000000000001</c:v>
                </c:pt>
                <c:pt idx="5">
                  <c:v>0.28999999999999998</c:v>
                </c:pt>
                <c:pt idx="6">
                  <c:v>2.64</c:v>
                </c:pt>
                <c:pt idx="7">
                  <c:v>0.02</c:v>
                </c:pt>
              </c:numCache>
            </c:numRef>
          </c:val>
        </c:ser>
        <c:overlap val="100"/>
        <c:axId val="60149760"/>
        <c:axId val="60151680"/>
      </c:barChart>
      <c:catAx>
        <c:axId val="601497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UK Recycling Case Impact by Waste Metal Including Avoided Products</a:t>
                </a:r>
              </a:p>
            </c:rich>
          </c:tx>
          <c:layout>
            <c:manualLayout>
              <c:xMode val="edge"/>
              <c:yMode val="edge"/>
              <c:x val="0.20422523871632609"/>
              <c:y val="0.882610125541536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151680"/>
        <c:crosses val="autoZero"/>
        <c:auto val="1"/>
        <c:lblAlgn val="ctr"/>
        <c:lblOffset val="100"/>
        <c:tickLblSkip val="1"/>
        <c:tickMarkSkip val="1"/>
      </c:catAx>
      <c:valAx>
        <c:axId val="601516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Percentage of Total Worst Case Disposal Impact</a:t>
                </a:r>
              </a:p>
            </c:rich>
          </c:tx>
          <c:layout>
            <c:manualLayout>
              <c:xMode val="edge"/>
              <c:yMode val="edge"/>
              <c:x val="3.0516614870993889E-2"/>
              <c:y val="0.16086993643866807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14976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942844019291645"/>
          <c:y val="3.3232677422638288E-2"/>
          <c:w val="0.15337453942704224"/>
          <c:h val="6.04230498593423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57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 horizontalDpi="300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842098662572601"/>
          <c:y val="0.128027897971011"/>
          <c:w val="0.85052587863595908"/>
          <c:h val="0.68166205135916402"/>
        </c:manualLayout>
      </c:layout>
      <c:lineChart>
        <c:grouping val="standard"/>
        <c:ser>
          <c:idx val="0"/>
          <c:order val="0"/>
          <c:tx>
            <c:strRef>
              <c:f>'General metal graphs'!$B$232</c:f>
              <c:strCache>
                <c:ptCount val="1"/>
                <c:pt idx="0">
                  <c:v>50 years after start-up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'General metal graphs'!$A$233:$A$245</c:f>
              <c:numCache>
                <c:formatCode>General</c:formatCode>
                <c:ptCount val="13"/>
                <c:pt idx="0">
                  <c:v>2</c:v>
                </c:pt>
                <c:pt idx="1">
                  <c:v>5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17</c:v>
                </c:pt>
                <c:pt idx="6">
                  <c:v>19</c:v>
                </c:pt>
                <c:pt idx="7">
                  <c:v>21</c:v>
                </c:pt>
                <c:pt idx="8">
                  <c:v>23</c:v>
                </c:pt>
                <c:pt idx="9">
                  <c:v>25</c:v>
                </c:pt>
                <c:pt idx="10">
                  <c:v>27</c:v>
                </c:pt>
                <c:pt idx="11">
                  <c:v>28</c:v>
                </c:pt>
                <c:pt idx="12">
                  <c:v>30</c:v>
                </c:pt>
              </c:numCache>
            </c:numRef>
          </c:cat>
          <c:val>
            <c:numRef>
              <c:f>'General metal graphs'!$B$233:$B$245</c:f>
              <c:numCache>
                <c:formatCode>General</c:formatCode>
                <c:ptCount val="13"/>
                <c:pt idx="0">
                  <c:v>20194</c:v>
                </c:pt>
                <c:pt idx="1">
                  <c:v>40007</c:v>
                </c:pt>
                <c:pt idx="2">
                  <c:v>19180</c:v>
                </c:pt>
                <c:pt idx="3">
                  <c:v>53110</c:v>
                </c:pt>
                <c:pt idx="4">
                  <c:v>54910</c:v>
                </c:pt>
                <c:pt idx="5">
                  <c:v>42485</c:v>
                </c:pt>
                <c:pt idx="6">
                  <c:v>61336</c:v>
                </c:pt>
                <c:pt idx="7">
                  <c:v>103816</c:v>
                </c:pt>
                <c:pt idx="8">
                  <c:v>58338</c:v>
                </c:pt>
                <c:pt idx="9">
                  <c:v>195149</c:v>
                </c:pt>
                <c:pt idx="10">
                  <c:v>71902</c:v>
                </c:pt>
                <c:pt idx="11">
                  <c:v>132683</c:v>
                </c:pt>
                <c:pt idx="12">
                  <c:v>21521</c:v>
                </c:pt>
              </c:numCache>
            </c:numRef>
          </c:val>
        </c:ser>
        <c:ser>
          <c:idx val="1"/>
          <c:order val="1"/>
          <c:tx>
            <c:strRef>
              <c:f>'General metal graphs'!$C$232</c:f>
              <c:strCache>
                <c:ptCount val="1"/>
                <c:pt idx="0">
                  <c:v>100 years after start-up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'General metal graphs'!$A$233:$A$245</c:f>
              <c:numCache>
                <c:formatCode>General</c:formatCode>
                <c:ptCount val="13"/>
                <c:pt idx="0">
                  <c:v>2</c:v>
                </c:pt>
                <c:pt idx="1">
                  <c:v>5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17</c:v>
                </c:pt>
                <c:pt idx="6">
                  <c:v>19</c:v>
                </c:pt>
                <c:pt idx="7">
                  <c:v>21</c:v>
                </c:pt>
                <c:pt idx="8">
                  <c:v>23</c:v>
                </c:pt>
                <c:pt idx="9">
                  <c:v>25</c:v>
                </c:pt>
                <c:pt idx="10">
                  <c:v>27</c:v>
                </c:pt>
                <c:pt idx="11">
                  <c:v>28</c:v>
                </c:pt>
                <c:pt idx="12">
                  <c:v>30</c:v>
                </c:pt>
              </c:numCache>
            </c:numRef>
          </c:cat>
          <c:val>
            <c:numRef>
              <c:f>'General metal graphs'!$C$233:$C$245</c:f>
              <c:numCache>
                <c:formatCode>General</c:formatCode>
                <c:ptCount val="13"/>
                <c:pt idx="0">
                  <c:v>36017</c:v>
                </c:pt>
                <c:pt idx="1">
                  <c:v>70233</c:v>
                </c:pt>
                <c:pt idx="2">
                  <c:v>26772</c:v>
                </c:pt>
                <c:pt idx="3">
                  <c:v>75604</c:v>
                </c:pt>
                <c:pt idx="4">
                  <c:v>81113</c:v>
                </c:pt>
                <c:pt idx="5">
                  <c:v>67004</c:v>
                </c:pt>
                <c:pt idx="6">
                  <c:v>96286</c:v>
                </c:pt>
                <c:pt idx="7">
                  <c:v>163854</c:v>
                </c:pt>
                <c:pt idx="8">
                  <c:v>87801</c:v>
                </c:pt>
                <c:pt idx="9">
                  <c:v>289472</c:v>
                </c:pt>
                <c:pt idx="10">
                  <c:v>105692</c:v>
                </c:pt>
                <c:pt idx="11">
                  <c:v>191861</c:v>
                </c:pt>
                <c:pt idx="12">
                  <c:v>29578</c:v>
                </c:pt>
              </c:numCache>
            </c:numRef>
          </c:val>
        </c:ser>
        <c:ser>
          <c:idx val="2"/>
          <c:order val="2"/>
          <c:tx>
            <c:strRef>
              <c:f>'General metal graphs'!$D$232</c:f>
              <c:strCache>
                <c:ptCount val="1"/>
                <c:pt idx="0">
                  <c:v>150 years after start-up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'General metal graphs'!$A$233:$A$245</c:f>
              <c:numCache>
                <c:formatCode>General</c:formatCode>
                <c:ptCount val="13"/>
                <c:pt idx="0">
                  <c:v>2</c:v>
                </c:pt>
                <c:pt idx="1">
                  <c:v>5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17</c:v>
                </c:pt>
                <c:pt idx="6">
                  <c:v>19</c:v>
                </c:pt>
                <c:pt idx="7">
                  <c:v>21</c:v>
                </c:pt>
                <c:pt idx="8">
                  <c:v>23</c:v>
                </c:pt>
                <c:pt idx="9">
                  <c:v>25</c:v>
                </c:pt>
                <c:pt idx="10">
                  <c:v>27</c:v>
                </c:pt>
                <c:pt idx="11">
                  <c:v>28</c:v>
                </c:pt>
                <c:pt idx="12">
                  <c:v>30</c:v>
                </c:pt>
              </c:numCache>
            </c:numRef>
          </c:cat>
          <c:val>
            <c:numRef>
              <c:f>'General metal graphs'!$D$233:$D$245</c:f>
              <c:numCache>
                <c:formatCode>General</c:formatCode>
                <c:ptCount val="13"/>
                <c:pt idx="0">
                  <c:v>43146</c:v>
                </c:pt>
                <c:pt idx="1">
                  <c:v>83966</c:v>
                </c:pt>
                <c:pt idx="2">
                  <c:v>29912</c:v>
                </c:pt>
                <c:pt idx="3">
                  <c:v>84848</c:v>
                </c:pt>
                <c:pt idx="4">
                  <c:v>92088</c:v>
                </c:pt>
                <c:pt idx="5">
                  <c:v>76969</c:v>
                </c:pt>
                <c:pt idx="6">
                  <c:v>110642</c:v>
                </c:pt>
                <c:pt idx="7">
                  <c:v>188448</c:v>
                </c:pt>
                <c:pt idx="8">
                  <c:v>100015</c:v>
                </c:pt>
                <c:pt idx="9">
                  <c:v>328581</c:v>
                </c:pt>
                <c:pt idx="10" formatCode="#,##0">
                  <c:v>119712</c:v>
                </c:pt>
                <c:pt idx="11">
                  <c:v>216421</c:v>
                </c:pt>
                <c:pt idx="12">
                  <c:v>33048</c:v>
                </c:pt>
              </c:numCache>
            </c:numRef>
          </c:val>
        </c:ser>
        <c:marker val="1"/>
        <c:axId val="53319936"/>
        <c:axId val="53330688"/>
      </c:lineChart>
      <c:catAx>
        <c:axId val="533199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Years from end of operating life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(Year 4 is reactor shutdown)</a:t>
                </a:r>
              </a:p>
            </c:rich>
          </c:tx>
          <c:layout>
            <c:manualLayout>
              <c:xMode val="edge"/>
              <c:yMode val="edge"/>
              <c:x val="0.40441206803411528"/>
              <c:y val="0.8594164859827304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330688"/>
        <c:crosses val="autoZero"/>
        <c:auto val="1"/>
        <c:lblAlgn val="ctr"/>
        <c:lblOffset val="100"/>
        <c:tickLblSkip val="1"/>
        <c:tickMarkSkip val="1"/>
      </c:catAx>
      <c:valAx>
        <c:axId val="533306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Steel and Iron 'Non-Active' Inventory (tons)</a:t>
                </a:r>
              </a:p>
            </c:rich>
          </c:tx>
          <c:layout>
            <c:manualLayout>
              <c:xMode val="edge"/>
              <c:yMode val="edge"/>
              <c:x val="2.9411822482688626E-2"/>
              <c:y val="0.1379311499106089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31993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39955157312342"/>
          <c:y val="1.413763205708069E-2"/>
          <c:w val="0.66689786997233624"/>
          <c:h val="5.937805463973889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377370441215603"/>
          <c:y val="0.14285684089040304"/>
          <c:w val="0.87735950093913606"/>
          <c:h val="0.53246640695513892"/>
        </c:manualLayout>
      </c:layout>
      <c:barChart>
        <c:barDir val="col"/>
        <c:grouping val="stacked"/>
        <c:ser>
          <c:idx val="0"/>
          <c:order val="0"/>
          <c:tx>
            <c:strRef>
              <c:f>'Invnetory Study Results'!$Z$137</c:f>
              <c:strCache>
                <c:ptCount val="1"/>
                <c:pt idx="0">
                  <c:v>VLLW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Results'!$AA$136:$AH$136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</c:v>
                </c:pt>
                <c:pt idx="3">
                  <c:v>Cu</c:v>
                </c:pt>
                <c:pt idx="4">
                  <c:v>Ni</c:v>
                </c:pt>
                <c:pt idx="5">
                  <c:v>Pb</c:v>
                </c:pt>
                <c:pt idx="6">
                  <c:v>Unspecified</c:v>
                </c:pt>
                <c:pt idx="7">
                  <c:v>Zn</c:v>
                </c:pt>
              </c:strCache>
            </c:strRef>
          </c:cat>
          <c:val>
            <c:numRef>
              <c:f>'Invnetory Study Results'!$AA$137:$AH$137</c:f>
              <c:numCache>
                <c:formatCode>0.00</c:formatCode>
                <c:ptCount val="8"/>
                <c:pt idx="0">
                  <c:v>0.05</c:v>
                </c:pt>
                <c:pt idx="1">
                  <c:v>0.02</c:v>
                </c:pt>
                <c:pt idx="2">
                  <c:v>0.01</c:v>
                </c:pt>
                <c:pt idx="3">
                  <c:v>3.0000000000000001E-3</c:v>
                </c:pt>
                <c:pt idx="4">
                  <c:v>0</c:v>
                </c:pt>
                <c:pt idx="5">
                  <c:v>3.0000000000000001E-3</c:v>
                </c:pt>
                <c:pt idx="6">
                  <c:v>0</c:v>
                </c:pt>
                <c:pt idx="7">
                  <c:v>0.01</c:v>
                </c:pt>
              </c:numCache>
            </c:numRef>
          </c:val>
        </c:ser>
        <c:ser>
          <c:idx val="1"/>
          <c:order val="1"/>
          <c:tx>
            <c:strRef>
              <c:f>'Invnetory Study Results'!$Z$138</c:f>
              <c:strCache>
                <c:ptCount val="1"/>
                <c:pt idx="0">
                  <c:v>LLW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Results'!$AA$136:$AH$136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</c:v>
                </c:pt>
                <c:pt idx="3">
                  <c:v>Cu</c:v>
                </c:pt>
                <c:pt idx="4">
                  <c:v>Ni</c:v>
                </c:pt>
                <c:pt idx="5">
                  <c:v>Pb</c:v>
                </c:pt>
                <c:pt idx="6">
                  <c:v>Unspecified</c:v>
                </c:pt>
                <c:pt idx="7">
                  <c:v>Zn</c:v>
                </c:pt>
              </c:strCache>
            </c:strRef>
          </c:cat>
          <c:val>
            <c:numRef>
              <c:f>'Invnetory Study Results'!$AA$138:$AH$138</c:f>
              <c:numCache>
                <c:formatCode>0.00</c:formatCode>
                <c:ptCount val="8"/>
                <c:pt idx="0">
                  <c:v>1.37</c:v>
                </c:pt>
                <c:pt idx="1">
                  <c:v>0.33</c:v>
                </c:pt>
                <c:pt idx="2">
                  <c:v>0.01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0.59</c:v>
                </c:pt>
                <c:pt idx="7">
                  <c:v>1E-3</c:v>
                </c:pt>
              </c:numCache>
            </c:numRef>
          </c:val>
        </c:ser>
        <c:ser>
          <c:idx val="2"/>
          <c:order val="2"/>
          <c:tx>
            <c:strRef>
              <c:f>'Invnetory Study Results'!$Z$139</c:f>
              <c:strCache>
                <c:ptCount val="1"/>
                <c:pt idx="0">
                  <c:v>ILW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Results'!$AA$136:$AH$136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</c:v>
                </c:pt>
                <c:pt idx="3">
                  <c:v>Cu</c:v>
                </c:pt>
                <c:pt idx="4">
                  <c:v>Ni</c:v>
                </c:pt>
                <c:pt idx="5">
                  <c:v>Pb</c:v>
                </c:pt>
                <c:pt idx="6">
                  <c:v>Unspecified</c:v>
                </c:pt>
                <c:pt idx="7">
                  <c:v>Zn</c:v>
                </c:pt>
              </c:strCache>
            </c:strRef>
          </c:cat>
          <c:val>
            <c:numRef>
              <c:f>'Invnetory Study Results'!$AA$139:$AH$139</c:f>
              <c:numCache>
                <c:formatCode>0.00</c:formatCode>
                <c:ptCount val="8"/>
                <c:pt idx="0">
                  <c:v>17.399999999999999</c:v>
                </c:pt>
                <c:pt idx="1">
                  <c:v>14.28</c:v>
                </c:pt>
                <c:pt idx="2">
                  <c:v>0.43</c:v>
                </c:pt>
                <c:pt idx="3">
                  <c:v>0.14399999999999999</c:v>
                </c:pt>
                <c:pt idx="4">
                  <c:v>1.1000000000000001</c:v>
                </c:pt>
                <c:pt idx="5">
                  <c:v>0.28999999999999998</c:v>
                </c:pt>
                <c:pt idx="6">
                  <c:v>2.64</c:v>
                </c:pt>
                <c:pt idx="7">
                  <c:v>0.02</c:v>
                </c:pt>
              </c:numCache>
            </c:numRef>
          </c:val>
        </c:ser>
        <c:overlap val="100"/>
        <c:axId val="60181120"/>
        <c:axId val="60183296"/>
      </c:barChart>
      <c:catAx>
        <c:axId val="601811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International Recycling Case Impact by Waste Metal No Avoided Products</a:t>
                </a:r>
              </a:p>
            </c:rich>
          </c:tx>
          <c:layout>
            <c:manualLayout>
              <c:xMode val="edge"/>
              <c:yMode val="edge"/>
              <c:x val="0.17882354211896351"/>
              <c:y val="0.8831150297829538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183296"/>
        <c:crosses val="autoZero"/>
        <c:auto val="1"/>
        <c:lblAlgn val="ctr"/>
        <c:lblOffset val="100"/>
        <c:tickLblSkip val="1"/>
        <c:tickMarkSkip val="1"/>
      </c:catAx>
      <c:valAx>
        <c:axId val="601832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Percentage of Total Worst Case Disposal Impact</a:t>
                </a:r>
              </a:p>
            </c:rich>
          </c:tx>
          <c:layout>
            <c:manualLayout>
              <c:xMode val="edge"/>
              <c:yMode val="edge"/>
              <c:x val="3.0588336951708196E-2"/>
              <c:y val="7.7922265704810839E-2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18112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2674897119341568"/>
          <c:y val="4.1916167664670656E-2"/>
          <c:w val="0.14609053497942387"/>
          <c:h val="5.988023952095808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 horizontalDpi="300" verticalDpi="300"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117638340729801"/>
          <c:y val="0.14718583606890001"/>
          <c:w val="0.87999924172859523"/>
          <c:h val="0.62337530570357813"/>
        </c:manualLayout>
      </c:layout>
      <c:barChart>
        <c:barDir val="col"/>
        <c:grouping val="stacked"/>
        <c:ser>
          <c:idx val="0"/>
          <c:order val="0"/>
          <c:tx>
            <c:strRef>
              <c:f>'Invnetory Study Results'!$Z$141</c:f>
              <c:strCache>
                <c:ptCount val="1"/>
                <c:pt idx="0">
                  <c:v>VLLW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Results'!$AA$140:$AH$140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</c:v>
                </c:pt>
                <c:pt idx="3">
                  <c:v>Cu</c:v>
                </c:pt>
                <c:pt idx="4">
                  <c:v>Ni</c:v>
                </c:pt>
                <c:pt idx="5">
                  <c:v>Pb</c:v>
                </c:pt>
                <c:pt idx="6">
                  <c:v>Unspecified</c:v>
                </c:pt>
                <c:pt idx="7">
                  <c:v>Zn</c:v>
                </c:pt>
              </c:strCache>
            </c:strRef>
          </c:cat>
          <c:val>
            <c:numRef>
              <c:f>'Invnetory Study Results'!$AA$141:$AH$141</c:f>
              <c:numCache>
                <c:formatCode>0.00</c:formatCode>
                <c:ptCount val="8"/>
                <c:pt idx="0">
                  <c:v>-0.97</c:v>
                </c:pt>
                <c:pt idx="1">
                  <c:v>-0.48</c:v>
                </c:pt>
                <c:pt idx="2">
                  <c:v>-0.16</c:v>
                </c:pt>
                <c:pt idx="3">
                  <c:v>-7.0000000000000007E-2</c:v>
                </c:pt>
                <c:pt idx="4">
                  <c:v>0</c:v>
                </c:pt>
                <c:pt idx="5">
                  <c:v>-0.02</c:v>
                </c:pt>
                <c:pt idx="6">
                  <c:v>0</c:v>
                </c:pt>
                <c:pt idx="7">
                  <c:v>-0.21</c:v>
                </c:pt>
              </c:numCache>
            </c:numRef>
          </c:val>
        </c:ser>
        <c:ser>
          <c:idx val="1"/>
          <c:order val="1"/>
          <c:tx>
            <c:strRef>
              <c:f>'Invnetory Study Results'!$Z$142</c:f>
              <c:strCache>
                <c:ptCount val="1"/>
                <c:pt idx="0">
                  <c:v>LLW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Results'!$AA$140:$AH$140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</c:v>
                </c:pt>
                <c:pt idx="3">
                  <c:v>Cu</c:v>
                </c:pt>
                <c:pt idx="4">
                  <c:v>Ni</c:v>
                </c:pt>
                <c:pt idx="5">
                  <c:v>Pb</c:v>
                </c:pt>
                <c:pt idx="6">
                  <c:v>Unspecified</c:v>
                </c:pt>
                <c:pt idx="7">
                  <c:v>Zn</c:v>
                </c:pt>
              </c:strCache>
            </c:strRef>
          </c:cat>
          <c:val>
            <c:numRef>
              <c:f>'Invnetory Study Results'!$AA$142:$AH$142</c:f>
              <c:numCache>
                <c:formatCode>0.00</c:formatCode>
                <c:ptCount val="8"/>
                <c:pt idx="0">
                  <c:v>-2.36</c:v>
                </c:pt>
                <c:pt idx="1">
                  <c:v>-0.49</c:v>
                </c:pt>
                <c:pt idx="2">
                  <c:v>-0.01</c:v>
                </c:pt>
                <c:pt idx="3">
                  <c:v>-0.13</c:v>
                </c:pt>
                <c:pt idx="4">
                  <c:v>-0.01</c:v>
                </c:pt>
                <c:pt idx="5">
                  <c:v>-0.01</c:v>
                </c:pt>
                <c:pt idx="6">
                  <c:v>-1.7</c:v>
                </c:pt>
                <c:pt idx="7">
                  <c:v>4.0000000000000001E-3</c:v>
                </c:pt>
              </c:numCache>
            </c:numRef>
          </c:val>
        </c:ser>
        <c:ser>
          <c:idx val="2"/>
          <c:order val="2"/>
          <c:tx>
            <c:strRef>
              <c:f>'Invnetory Study Results'!$Z$143</c:f>
              <c:strCache>
                <c:ptCount val="1"/>
                <c:pt idx="0">
                  <c:v>ILW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'Invnetory Study Results'!$AA$140:$AH$140</c:f>
              <c:strCache>
                <c:ptCount val="8"/>
                <c:pt idx="0">
                  <c:v>Mild Steel</c:v>
                </c:pt>
                <c:pt idx="1">
                  <c:v>Stainless steel</c:v>
                </c:pt>
                <c:pt idx="2">
                  <c:v>Al</c:v>
                </c:pt>
                <c:pt idx="3">
                  <c:v>Cu</c:v>
                </c:pt>
                <c:pt idx="4">
                  <c:v>Ni</c:v>
                </c:pt>
                <c:pt idx="5">
                  <c:v>Pb</c:v>
                </c:pt>
                <c:pt idx="6">
                  <c:v>Unspecified</c:v>
                </c:pt>
                <c:pt idx="7">
                  <c:v>Zn</c:v>
                </c:pt>
              </c:strCache>
            </c:strRef>
          </c:cat>
          <c:val>
            <c:numRef>
              <c:f>'Invnetory Study Results'!$AA$143:$AH$143</c:f>
              <c:numCache>
                <c:formatCode>0.00</c:formatCode>
                <c:ptCount val="8"/>
                <c:pt idx="0">
                  <c:v>17.399999999999999</c:v>
                </c:pt>
                <c:pt idx="1">
                  <c:v>14.28</c:v>
                </c:pt>
                <c:pt idx="2">
                  <c:v>0.43</c:v>
                </c:pt>
                <c:pt idx="3">
                  <c:v>0.14399999999999999</c:v>
                </c:pt>
                <c:pt idx="4">
                  <c:v>1.1000000000000001</c:v>
                </c:pt>
                <c:pt idx="5">
                  <c:v>0.28999999999999998</c:v>
                </c:pt>
                <c:pt idx="6">
                  <c:v>2.64</c:v>
                </c:pt>
                <c:pt idx="7">
                  <c:v>0.02</c:v>
                </c:pt>
              </c:numCache>
            </c:numRef>
          </c:val>
        </c:ser>
        <c:overlap val="100"/>
        <c:axId val="60217216"/>
        <c:axId val="60239872"/>
      </c:barChart>
      <c:catAx>
        <c:axId val="60217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International Recycling Case Impact by Waste Metal Including Avoided Future Material</a:t>
                </a:r>
              </a:p>
            </c:rich>
          </c:tx>
          <c:layout>
            <c:manualLayout>
              <c:xMode val="edge"/>
              <c:yMode val="edge"/>
              <c:x val="0.20456595902924865"/>
              <c:y val="0.8354962515913055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239872"/>
        <c:crosses val="autoZero"/>
        <c:auto val="1"/>
        <c:lblAlgn val="ctr"/>
        <c:lblOffset val="100"/>
        <c:tickLblSkip val="1"/>
        <c:tickMarkSkip val="1"/>
      </c:catAx>
      <c:valAx>
        <c:axId val="602398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Percentage of Total Worst Case Disposal Impact</a:t>
                </a:r>
              </a:p>
            </c:rich>
          </c:tx>
          <c:layout>
            <c:manualLayout>
              <c:xMode val="edge"/>
              <c:yMode val="edge"/>
              <c:x val="3.0588260656329663E-2"/>
              <c:y val="0.13419900356766781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21721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2254098360655743"/>
          <c:y val="3.8922212589780285E-2"/>
          <c:w val="0.15573770491803279"/>
          <c:h val="6.287434341426045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570" b="0" i="0" u="none" strike="noStrike" baseline="0">
              <a:solidFill>
                <a:srgbClr val="000000"/>
              </a:solidFill>
              <a:latin typeface="ArialTimes New Roman"/>
              <a:ea typeface="ArialTimes New Roman"/>
              <a:cs typeface="Arial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 horizontalDpi="300" verticalDpi="300"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6075650118203302"/>
          <c:y val="0.14732142857142905"/>
          <c:w val="0.82033152770797291"/>
          <c:h val="0.32142857142857112"/>
        </c:manualLayout>
      </c:layout>
      <c:lineChart>
        <c:grouping val="standard"/>
        <c:ser>
          <c:idx val="0"/>
          <c:order val="0"/>
          <c:tx>
            <c:strRef>
              <c:f>'Invnetory Study Results'!$AV$63</c:f>
              <c:strCache>
                <c:ptCount val="1"/>
                <c:pt idx="0">
                  <c:v>Worst Case Disposal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'Invnetory Study Results'!$AU$64:$AU$74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Results'!$AV$64:$AV$74</c:f>
              <c:numCache>
                <c:formatCode>0.0</c:formatCode>
                <c:ptCount val="11"/>
                <c:pt idx="0">
                  <c:v>5.6734693877551017</c:v>
                </c:pt>
                <c:pt idx="1">
                  <c:v>3.5102040816326528E-2</c:v>
                </c:pt>
                <c:pt idx="2">
                  <c:v>41.768707482993193</c:v>
                </c:pt>
                <c:pt idx="3">
                  <c:v>10.19047619047619</c:v>
                </c:pt>
                <c:pt idx="4">
                  <c:v>0.18639455782312925</c:v>
                </c:pt>
                <c:pt idx="5">
                  <c:v>5.7006802721088438E-3</c:v>
                </c:pt>
                <c:pt idx="6">
                  <c:v>5.6326530612244898</c:v>
                </c:pt>
                <c:pt idx="7">
                  <c:v>1.2979591836734694</c:v>
                </c:pt>
                <c:pt idx="8">
                  <c:v>1.3564625850340135</c:v>
                </c:pt>
                <c:pt idx="9">
                  <c:v>8.0136054421768694</c:v>
                </c:pt>
                <c:pt idx="10">
                  <c:v>25.986394557823129</c:v>
                </c:pt>
              </c:numCache>
            </c:numRef>
          </c:val>
        </c:ser>
        <c:ser>
          <c:idx val="2"/>
          <c:order val="1"/>
          <c:tx>
            <c:strRef>
              <c:f>'Invnetory Study Results'!$AX$63</c:f>
              <c:strCache>
                <c:ptCount val="1"/>
                <c:pt idx="0">
                  <c:v>Best Case Disposal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'Invnetory Study Results'!$AU$64:$AU$74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Results'!$AX$64:$AX$74</c:f>
              <c:numCache>
                <c:formatCode>0.00</c:formatCode>
                <c:ptCount val="11"/>
                <c:pt idx="0">
                  <c:v>3.3741496598639453</c:v>
                </c:pt>
                <c:pt idx="1">
                  <c:v>2.110204081632653E-2</c:v>
                </c:pt>
                <c:pt idx="2">
                  <c:v>25.374149659863949</c:v>
                </c:pt>
                <c:pt idx="3">
                  <c:v>5.9210884353741502</c:v>
                </c:pt>
                <c:pt idx="4">
                  <c:v>0.11382312925170068</c:v>
                </c:pt>
                <c:pt idx="5">
                  <c:v>3.8448979591836734E-3</c:v>
                </c:pt>
                <c:pt idx="6">
                  <c:v>3.6190476190476191</c:v>
                </c:pt>
                <c:pt idx="7">
                  <c:v>0.78734693877551021</c:v>
                </c:pt>
                <c:pt idx="8">
                  <c:v>0.84952380952380957</c:v>
                </c:pt>
                <c:pt idx="9">
                  <c:v>5.074829931972789</c:v>
                </c:pt>
                <c:pt idx="10">
                  <c:v>16.421768707482993</c:v>
                </c:pt>
              </c:numCache>
            </c:numRef>
          </c:val>
        </c:ser>
        <c:marker val="1"/>
        <c:axId val="60297984"/>
        <c:axId val="60300288"/>
      </c:lineChart>
      <c:catAx>
        <c:axId val="602979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95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Impact Category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95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(Best Case Impact 62% of Worst Case Impact)</a:t>
                </a:r>
              </a:p>
            </c:rich>
          </c:tx>
          <c:layout>
            <c:manualLayout>
              <c:xMode val="edge"/>
              <c:yMode val="edge"/>
              <c:x val="0.33333311775453123"/>
              <c:y val="0.8214286908403964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300288"/>
        <c:crosses val="autoZero"/>
        <c:auto val="1"/>
        <c:lblAlgn val="ctr"/>
        <c:lblOffset val="100"/>
        <c:tickLblSkip val="1"/>
        <c:tickMarkSkip val="1"/>
      </c:catAx>
      <c:valAx>
        <c:axId val="603002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Total Worst Case Disposal Impact</a:t>
                </a:r>
              </a:p>
            </c:rich>
          </c:tx>
          <c:layout>
            <c:manualLayout>
              <c:xMode val="edge"/>
              <c:yMode val="edge"/>
              <c:x val="3.1175066155744908E-2"/>
              <c:y val="1.7857130915960345E-2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29798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573770491803279"/>
          <c:y val="3.5143824792558148E-2"/>
          <c:w val="0.47745901639344263"/>
          <c:h val="6.709275642215646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n-GB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3953423672884"/>
          <c:y val="0.20873786407767003"/>
          <c:w val="0.86976694803384602"/>
          <c:h val="0.37864077669902907"/>
        </c:manualLayout>
      </c:layout>
      <c:lineChart>
        <c:grouping val="standard"/>
        <c:ser>
          <c:idx val="0"/>
          <c:order val="0"/>
          <c:tx>
            <c:strRef>
              <c:f>'Invnetory Study Results'!$BE$108</c:f>
              <c:strCache>
                <c:ptCount val="1"/>
                <c:pt idx="0">
                  <c:v>Baseline Disposal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'Invnetory Study Results'!$BD$109:$BD$119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Results'!$BE$109:$BE$119</c:f>
              <c:numCache>
                <c:formatCode>0.0</c:formatCode>
                <c:ptCount val="11"/>
                <c:pt idx="0">
                  <c:v>5.6734693877551017</c:v>
                </c:pt>
                <c:pt idx="1">
                  <c:v>3.5102040816326528E-2</c:v>
                </c:pt>
                <c:pt idx="2">
                  <c:v>41.768707482993193</c:v>
                </c:pt>
                <c:pt idx="3">
                  <c:v>10.19047619047619</c:v>
                </c:pt>
                <c:pt idx="4">
                  <c:v>0.18639455782312925</c:v>
                </c:pt>
                <c:pt idx="5">
                  <c:v>5.7006802721088438E-3</c:v>
                </c:pt>
                <c:pt idx="6">
                  <c:v>5.6326530612244898</c:v>
                </c:pt>
                <c:pt idx="7">
                  <c:v>1.2979591836734694</c:v>
                </c:pt>
                <c:pt idx="8">
                  <c:v>1.3564625850340135</c:v>
                </c:pt>
                <c:pt idx="9">
                  <c:v>8.0136054421768694</c:v>
                </c:pt>
                <c:pt idx="10">
                  <c:v>25.986394557823129</c:v>
                </c:pt>
              </c:numCache>
            </c:numRef>
          </c:val>
        </c:ser>
        <c:ser>
          <c:idx val="1"/>
          <c:order val="1"/>
          <c:tx>
            <c:strRef>
              <c:f>'Invnetory Study Results'!$BG$108</c:f>
              <c:strCache>
                <c:ptCount val="1"/>
                <c:pt idx="0">
                  <c:v>International Treatment Without Recycling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f>'Invnetory Study Results'!$BD$109:$BD$119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Results'!$BG$109:$BG$119</c:f>
              <c:numCache>
                <c:formatCode>0.0</c:formatCode>
                <c:ptCount val="11"/>
                <c:pt idx="0">
                  <c:v>2.4997286300033461</c:v>
                </c:pt>
                <c:pt idx="1">
                  <c:v>1.5623303937520913E-2</c:v>
                </c:pt>
                <c:pt idx="2">
                  <c:v>19.019674358721112</c:v>
                </c:pt>
                <c:pt idx="3">
                  <c:v>4.0348880603858355</c:v>
                </c:pt>
                <c:pt idx="4">
                  <c:v>8.477340571315696E-2</c:v>
                </c:pt>
                <c:pt idx="5">
                  <c:v>3.3827849395153976E-3</c:v>
                </c:pt>
                <c:pt idx="6">
                  <c:v>3.015976934025776</c:v>
                </c:pt>
                <c:pt idx="7">
                  <c:v>0.59232700145731465</c:v>
                </c:pt>
                <c:pt idx="8">
                  <c:v>0.42658412490274489</c:v>
                </c:pt>
                <c:pt idx="9">
                  <c:v>4.0484735420706368</c:v>
                </c:pt>
                <c:pt idx="10">
                  <c:v>13.082818862463164</c:v>
                </c:pt>
              </c:numCache>
            </c:numRef>
          </c:val>
        </c:ser>
        <c:ser>
          <c:idx val="2"/>
          <c:order val="2"/>
          <c:tx>
            <c:strRef>
              <c:f>'Invnetory Study Results'!$BH$108</c:f>
              <c:strCache>
                <c:ptCount val="1"/>
                <c:pt idx="0">
                  <c:v>International Treatement With Recycling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'Invnetory Study Results'!$BD$109:$BD$119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Results'!$BH$109:$BH$119</c:f>
              <c:numCache>
                <c:formatCode>0.0</c:formatCode>
                <c:ptCount val="11"/>
                <c:pt idx="0">
                  <c:v>2.377459294840139</c:v>
                </c:pt>
                <c:pt idx="1">
                  <c:v>1.3721336501648803E-2</c:v>
                </c:pt>
                <c:pt idx="2">
                  <c:v>12.226933516320715</c:v>
                </c:pt>
                <c:pt idx="3">
                  <c:v>3.1790027142433854</c:v>
                </c:pt>
                <c:pt idx="4">
                  <c:v>8.2599728643588832E-2</c:v>
                </c:pt>
                <c:pt idx="5">
                  <c:v>3.3012720494065926E-3</c:v>
                </c:pt>
                <c:pt idx="6">
                  <c:v>2.8393656721233658</c:v>
                </c:pt>
                <c:pt idx="7">
                  <c:v>0.4890773406528286</c:v>
                </c:pt>
                <c:pt idx="8">
                  <c:v>0.3572981683102609</c:v>
                </c:pt>
                <c:pt idx="9">
                  <c:v>3.8990332435378279</c:v>
                </c:pt>
                <c:pt idx="10">
                  <c:v>12.186177071266311</c:v>
                </c:pt>
              </c:numCache>
            </c:numRef>
          </c:val>
        </c:ser>
        <c:marker val="1"/>
        <c:axId val="60334080"/>
        <c:axId val="60336384"/>
      </c:lineChart>
      <c:catAx>
        <c:axId val="60334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7552391665327548"/>
              <c:y val="0.9178752010837355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336384"/>
        <c:crosses val="autoZero"/>
        <c:auto val="1"/>
        <c:lblAlgn val="ctr"/>
        <c:lblOffset val="100"/>
        <c:tickLblSkip val="1"/>
        <c:tickMarkSkip val="1"/>
      </c:catAx>
      <c:valAx>
        <c:axId val="603363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Total Worst Case Disposal Impact</a:t>
                </a:r>
              </a:p>
            </c:rich>
          </c:tx>
          <c:layout>
            <c:manualLayout>
              <c:xMode val="edge"/>
              <c:yMode val="edge"/>
              <c:x val="9.3241201992608075E-3"/>
              <c:y val="5.797104394208788E-2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33408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5348824254111089"/>
          <c:y val="2.9126068918804503E-2"/>
          <c:w val="0.89767400503508488"/>
          <c:h val="0.1990290407247481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8108010834555"/>
          <c:y val="0.19806786645610003"/>
          <c:w val="0.86732108692268206"/>
          <c:h val="0.49758512792630005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Results'!$BE$97</c:f>
              <c:strCache>
                <c:ptCount val="1"/>
                <c:pt idx="0">
                  <c:v>Baseline Disposal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cat>
            <c:strRef>
              <c:f>'Invnetory Study Results'!$BD$98:$BD$105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</c:v>
                </c:pt>
                <c:pt idx="3">
                  <c:v>Drums 210l (VLLW)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to LLW</c:v>
                </c:pt>
              </c:strCache>
            </c:strRef>
          </c:cat>
          <c:val>
            <c:numRef>
              <c:f>'Invnetory Study Results'!$BE$98:$BE$105</c:f>
              <c:numCache>
                <c:formatCode>0.0</c:formatCode>
                <c:ptCount val="8"/>
                <c:pt idx="0">
                  <c:v>10.122448979591837</c:v>
                </c:pt>
                <c:pt idx="1">
                  <c:v>0</c:v>
                </c:pt>
                <c:pt idx="2">
                  <c:v>10.258503401360544</c:v>
                </c:pt>
                <c:pt idx="3">
                  <c:v>0</c:v>
                </c:pt>
                <c:pt idx="4">
                  <c:v>5.7414965986394551</c:v>
                </c:pt>
                <c:pt idx="5">
                  <c:v>25.442176870748302</c:v>
                </c:pt>
                <c:pt idx="6">
                  <c:v>48.435374149659864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'Invnetory Study Results'!$BF$97</c:f>
              <c:strCache>
                <c:ptCount val="1"/>
                <c:pt idx="0">
                  <c:v>Improved Disposal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cat>
            <c:strRef>
              <c:f>'Invnetory Study Results'!$BD$98:$BD$105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</c:v>
                </c:pt>
                <c:pt idx="3">
                  <c:v>Drums 210l (VLLW)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to LLW</c:v>
                </c:pt>
              </c:strCache>
            </c:strRef>
          </c:cat>
          <c:val>
            <c:numRef>
              <c:f>'Invnetory Study Results'!$BF$98:$BF$105</c:f>
              <c:numCache>
                <c:formatCode>0.0</c:formatCode>
                <c:ptCount val="8"/>
                <c:pt idx="0">
                  <c:v>7.6</c:v>
                </c:pt>
                <c:pt idx="1">
                  <c:v>0.1</c:v>
                </c:pt>
                <c:pt idx="2">
                  <c:v>4</c:v>
                </c:pt>
                <c:pt idx="3">
                  <c:v>0.42</c:v>
                </c:pt>
                <c:pt idx="4">
                  <c:v>0.2</c:v>
                </c:pt>
                <c:pt idx="5">
                  <c:v>12.7</c:v>
                </c:pt>
                <c:pt idx="6">
                  <c:v>36.326530612244902</c:v>
                </c:pt>
                <c:pt idx="7">
                  <c:v>0.3</c:v>
                </c:pt>
              </c:numCache>
            </c:numRef>
          </c:val>
        </c:ser>
        <c:ser>
          <c:idx val="2"/>
          <c:order val="2"/>
          <c:tx>
            <c:strRef>
              <c:f>'Invnetory Study Results'!$BG$97</c:f>
              <c:strCache>
                <c:ptCount val="1"/>
                <c:pt idx="0">
                  <c:v>International Treatment Without Recycling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cat>
            <c:strRef>
              <c:f>'Invnetory Study Results'!$BD$98:$BD$105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</c:v>
                </c:pt>
                <c:pt idx="3">
                  <c:v>Drums 210l (VLLW)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to LLW</c:v>
                </c:pt>
              </c:strCache>
            </c:strRef>
          </c:cat>
          <c:val>
            <c:numRef>
              <c:f>'Invnetory Study Results'!$BG$98:$BG$105</c:f>
              <c:numCache>
                <c:formatCode>0.0</c:formatCode>
                <c:ptCount val="8"/>
                <c:pt idx="0">
                  <c:v>7.5782312925170068</c:v>
                </c:pt>
                <c:pt idx="1">
                  <c:v>9.9455782312925164E-3</c:v>
                </c:pt>
                <c:pt idx="2">
                  <c:v>0.39319727891156464</c:v>
                </c:pt>
                <c:pt idx="3">
                  <c:v>3.4965986394557821E-2</c:v>
                </c:pt>
                <c:pt idx="4">
                  <c:v>0.10231292517006803</c:v>
                </c:pt>
                <c:pt idx="5">
                  <c:v>2.4489795918367347</c:v>
                </c:pt>
                <c:pt idx="6">
                  <c:v>36.326530612244902</c:v>
                </c:pt>
                <c:pt idx="7">
                  <c:v>3.9727891156462587E-2</c:v>
                </c:pt>
              </c:numCache>
            </c:numRef>
          </c:val>
        </c:ser>
        <c:ser>
          <c:idx val="3"/>
          <c:order val="3"/>
          <c:tx>
            <c:strRef>
              <c:f>'Invnetory Study Results'!$BH$97</c:f>
              <c:strCache>
                <c:ptCount val="1"/>
                <c:pt idx="0">
                  <c:v>International Treatment With Recycling</c:v>
                </c:pt>
              </c:strCache>
            </c:strRef>
          </c:tx>
          <c:spPr>
            <a:solidFill>
              <a:srgbClr val="339966"/>
            </a:solidFill>
            <a:ln w="25400">
              <a:noFill/>
            </a:ln>
          </c:spPr>
          <c:cat>
            <c:strRef>
              <c:f>'Invnetory Study Results'!$BD$98:$BD$105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</c:v>
                </c:pt>
                <c:pt idx="3">
                  <c:v>Drums 210l (VLLW)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to LLW</c:v>
                </c:pt>
              </c:strCache>
            </c:strRef>
          </c:cat>
          <c:val>
            <c:numRef>
              <c:f>'Invnetory Study Results'!$BH$98:$BH$105</c:f>
              <c:numCache>
                <c:formatCode>0.0</c:formatCode>
                <c:ptCount val="8"/>
                <c:pt idx="0">
                  <c:v>7.5782312925170068</c:v>
                </c:pt>
                <c:pt idx="1">
                  <c:v>9.9455782312925164E-3</c:v>
                </c:pt>
                <c:pt idx="2">
                  <c:v>0.39319727891156464</c:v>
                </c:pt>
                <c:pt idx="3">
                  <c:v>3.4965986394557821E-2</c:v>
                </c:pt>
                <c:pt idx="4">
                  <c:v>-1.9183673469387756</c:v>
                </c:pt>
                <c:pt idx="5">
                  <c:v>-4.7482993197278907</c:v>
                </c:pt>
                <c:pt idx="6">
                  <c:v>36.326530612244902</c:v>
                </c:pt>
                <c:pt idx="7">
                  <c:v>3.1292517006802724E-2</c:v>
                </c:pt>
              </c:numCache>
            </c:numRef>
          </c:val>
        </c:ser>
        <c:axId val="60392192"/>
        <c:axId val="60394112"/>
      </c:barChart>
      <c:catAx>
        <c:axId val="60392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/>
                  <a:t>Product Stage Impacts</a:t>
                </a:r>
              </a:p>
            </c:rich>
          </c:tx>
          <c:layout>
            <c:manualLayout>
              <c:xMode val="edge"/>
              <c:yMode val="edge"/>
              <c:x val="0.44038865552173151"/>
              <c:y val="0.9081618829904326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394112"/>
        <c:crosses val="autoZero"/>
        <c:auto val="1"/>
        <c:lblAlgn val="ctr"/>
        <c:lblOffset val="100"/>
        <c:tickLblSkip val="1"/>
        <c:tickMarkSkip val="1"/>
      </c:catAx>
      <c:valAx>
        <c:axId val="603941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/>
                  <a:t>Percentage of Total</a:t>
                </a:r>
                <a:r>
                  <a:rPr lang="en-GB" sz="900" baseline="0"/>
                  <a:t> Baseline</a:t>
                </a:r>
                <a:r>
                  <a:rPr lang="en-GB" sz="900"/>
                  <a:t>Disposal Impact</a:t>
                </a:r>
              </a:p>
            </c:rich>
          </c:tx>
          <c:layout>
            <c:manualLayout>
              <c:xMode val="edge"/>
              <c:yMode val="edge"/>
              <c:x val="1.3410202774329235E-3"/>
              <c:y val="0.10449614765896198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39219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710601831003889"/>
          <c:y val="1.607717041800643E-2"/>
          <c:w val="0.70194458476539801"/>
          <c:h val="0.1704180064308681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n-GB"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242497659820502"/>
          <c:y val="0.201057050279139"/>
          <c:w val="0.84541112656811812"/>
          <c:h val="0.39682987509297518"/>
        </c:manualLayout>
      </c:layout>
      <c:lineChart>
        <c:grouping val="standard"/>
        <c:ser>
          <c:idx val="0"/>
          <c:order val="0"/>
          <c:tx>
            <c:strRef>
              <c:f>'Invnetory Study Results'!$BE$108</c:f>
              <c:strCache>
                <c:ptCount val="1"/>
                <c:pt idx="0">
                  <c:v>Baseline Disposal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'Invnetory Study Results'!$BD$109:$BD$119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Results'!$BE$109:$BE$119</c:f>
              <c:numCache>
                <c:formatCode>0.0</c:formatCode>
                <c:ptCount val="11"/>
                <c:pt idx="0">
                  <c:v>5.6734693877551017</c:v>
                </c:pt>
                <c:pt idx="1">
                  <c:v>3.5102040816326528E-2</c:v>
                </c:pt>
                <c:pt idx="2">
                  <c:v>41.768707482993193</c:v>
                </c:pt>
                <c:pt idx="3">
                  <c:v>10.19047619047619</c:v>
                </c:pt>
                <c:pt idx="4">
                  <c:v>0.18639455782312925</c:v>
                </c:pt>
                <c:pt idx="5">
                  <c:v>5.7006802721088438E-3</c:v>
                </c:pt>
                <c:pt idx="6">
                  <c:v>5.6326530612244898</c:v>
                </c:pt>
                <c:pt idx="7">
                  <c:v>1.2979591836734694</c:v>
                </c:pt>
                <c:pt idx="8">
                  <c:v>1.3564625850340135</c:v>
                </c:pt>
                <c:pt idx="9">
                  <c:v>8.0136054421768694</c:v>
                </c:pt>
                <c:pt idx="10">
                  <c:v>25.986394557823129</c:v>
                </c:pt>
              </c:numCache>
            </c:numRef>
          </c:val>
        </c:ser>
        <c:ser>
          <c:idx val="1"/>
          <c:order val="1"/>
          <c:tx>
            <c:strRef>
              <c:f>'Invnetory Study Results'!$BF$108</c:f>
              <c:strCache>
                <c:ptCount val="1"/>
                <c:pt idx="0">
                  <c:v>Improved Disposal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'Invnetory Study Results'!$BD$109:$BD$119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Results'!$BF$109:$BF$119</c:f>
              <c:numCache>
                <c:formatCode>General</c:formatCode>
                <c:ptCount val="11"/>
                <c:pt idx="0">
                  <c:v>3.37</c:v>
                </c:pt>
                <c:pt idx="1">
                  <c:v>0.02</c:v>
                </c:pt>
                <c:pt idx="2">
                  <c:v>25.37</c:v>
                </c:pt>
                <c:pt idx="3">
                  <c:v>5.92</c:v>
                </c:pt>
                <c:pt idx="4">
                  <c:v>0.11</c:v>
                </c:pt>
                <c:pt idx="5">
                  <c:v>0</c:v>
                </c:pt>
                <c:pt idx="6">
                  <c:v>3.62</c:v>
                </c:pt>
                <c:pt idx="7">
                  <c:v>0.79</c:v>
                </c:pt>
                <c:pt idx="8">
                  <c:v>0.85</c:v>
                </c:pt>
                <c:pt idx="9">
                  <c:v>5.07</c:v>
                </c:pt>
                <c:pt idx="10">
                  <c:v>16.420000000000002</c:v>
                </c:pt>
              </c:numCache>
            </c:numRef>
          </c:val>
        </c:ser>
        <c:ser>
          <c:idx val="2"/>
          <c:order val="2"/>
          <c:tx>
            <c:strRef>
              <c:f>'Invnetory Study Results'!$BG$108</c:f>
              <c:strCache>
                <c:ptCount val="1"/>
                <c:pt idx="0">
                  <c:v>International Treatment Without Recycling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'Invnetory Study Results'!$BD$109:$BD$119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Results'!$BG$109:$BG$119</c:f>
              <c:numCache>
                <c:formatCode>0.0</c:formatCode>
                <c:ptCount val="11"/>
                <c:pt idx="0">
                  <c:v>2.4997286300033461</c:v>
                </c:pt>
                <c:pt idx="1">
                  <c:v>1.5623303937520913E-2</c:v>
                </c:pt>
                <c:pt idx="2">
                  <c:v>19.019674358721112</c:v>
                </c:pt>
                <c:pt idx="3">
                  <c:v>4.0348880603858355</c:v>
                </c:pt>
                <c:pt idx="4">
                  <c:v>8.477340571315696E-2</c:v>
                </c:pt>
                <c:pt idx="5">
                  <c:v>3.3827849395153976E-3</c:v>
                </c:pt>
                <c:pt idx="6">
                  <c:v>3.015976934025776</c:v>
                </c:pt>
                <c:pt idx="7">
                  <c:v>0.59232700145731465</c:v>
                </c:pt>
                <c:pt idx="8">
                  <c:v>0.42658412490274489</c:v>
                </c:pt>
                <c:pt idx="9">
                  <c:v>4.0484735420706368</c:v>
                </c:pt>
                <c:pt idx="10">
                  <c:v>13.082818862463164</c:v>
                </c:pt>
              </c:numCache>
            </c:numRef>
          </c:val>
        </c:ser>
        <c:ser>
          <c:idx val="3"/>
          <c:order val="3"/>
          <c:tx>
            <c:strRef>
              <c:f>'Invnetory Study Results'!$BH$108</c:f>
              <c:strCache>
                <c:ptCount val="1"/>
                <c:pt idx="0">
                  <c:v>International Treatement With Recycling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'Invnetory Study Results'!$BD$109:$BD$119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'Invnetory Study Results'!$BH$109:$BH$119</c:f>
              <c:numCache>
                <c:formatCode>0.0</c:formatCode>
                <c:ptCount val="11"/>
                <c:pt idx="0">
                  <c:v>2.377459294840139</c:v>
                </c:pt>
                <c:pt idx="1">
                  <c:v>1.3721336501648803E-2</c:v>
                </c:pt>
                <c:pt idx="2">
                  <c:v>12.226933516320715</c:v>
                </c:pt>
                <c:pt idx="3">
                  <c:v>3.1790027142433854</c:v>
                </c:pt>
                <c:pt idx="4">
                  <c:v>8.2599728643588832E-2</c:v>
                </c:pt>
                <c:pt idx="5">
                  <c:v>3.3012720494065926E-3</c:v>
                </c:pt>
                <c:pt idx="6">
                  <c:v>2.8393656721233658</c:v>
                </c:pt>
                <c:pt idx="7">
                  <c:v>0.4890773406528286</c:v>
                </c:pt>
                <c:pt idx="8">
                  <c:v>0.3572981683102609</c:v>
                </c:pt>
                <c:pt idx="9">
                  <c:v>3.8990332435378279</c:v>
                </c:pt>
                <c:pt idx="10">
                  <c:v>12.186177071266311</c:v>
                </c:pt>
              </c:numCache>
            </c:numRef>
          </c:val>
        </c:ser>
        <c:marker val="1"/>
        <c:axId val="60445056"/>
        <c:axId val="60447360"/>
      </c:lineChart>
      <c:catAx>
        <c:axId val="60445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69990912900593305"/>
              <c:y val="0.9113373537337933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447360"/>
        <c:crosses val="autoZero"/>
        <c:auto val="1"/>
        <c:lblAlgn val="ctr"/>
        <c:lblOffset val="100"/>
        <c:tickLblSkip val="1"/>
        <c:tickMarkSkip val="1"/>
      </c:catAx>
      <c:valAx>
        <c:axId val="604473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Percentage of Total Baseline Disposal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Impact</a:t>
                </a:r>
              </a:p>
            </c:rich>
          </c:tx>
          <c:layout>
            <c:manualLayout>
              <c:xMode val="edge"/>
              <c:yMode val="edge"/>
              <c:x val="2.9396325459317587E-3"/>
              <c:y val="0.15014106514277686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44505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638655462184875"/>
          <c:y val="1.6722408026755852E-2"/>
          <c:w val="0.68067226890756305"/>
          <c:h val="0.18729096989966554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n-GB"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0.11713656638461602"/>
          <c:y val="0.12840485223058898"/>
          <c:w val="0.85683229114673198"/>
          <c:h val="0.58365841922994899"/>
        </c:manualLayout>
      </c:layout>
      <c:barChart>
        <c:barDir val="col"/>
        <c:grouping val="clustered"/>
        <c:ser>
          <c:idx val="0"/>
          <c:order val="0"/>
          <c:tx>
            <c:strRef>
              <c:f>'Invnetory Study Results'!$AV$39</c:f>
              <c:strCache>
                <c:ptCount val="1"/>
                <c:pt idx="0">
                  <c:v>Baseline Disposal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GB"/>
                </a:pPr>
                <a:endParaRPr lang="en-US"/>
              </a:p>
            </c:txPr>
            <c:showVal val="1"/>
          </c:dLbls>
          <c:cat>
            <c:strRef>
              <c:f>'Invnetory Study Results'!$AU$40:$AU$47</c:f>
              <c:strCache>
                <c:ptCount val="8"/>
                <c:pt idx="0">
                  <c:v>SS 4m boxes</c:v>
                </c:pt>
                <c:pt idx="1">
                  <c:v>MS 4m boxes</c:v>
                </c:pt>
                <c:pt idx="2">
                  <c:v>HHISOs</c:v>
                </c:pt>
                <c:pt idx="3">
                  <c:v>Drums 210l (VLLW)</c:v>
                </c:pt>
                <c:pt idx="4">
                  <c:v>VLLW Disposal</c:v>
                </c:pt>
                <c:pt idx="5">
                  <c:v>LLW Disposal</c:v>
                </c:pt>
                <c:pt idx="6">
                  <c:v>ILW Disposal</c:v>
                </c:pt>
                <c:pt idx="7">
                  <c:v>ILW to LLW</c:v>
                </c:pt>
              </c:strCache>
            </c:strRef>
          </c:cat>
          <c:val>
            <c:numRef>
              <c:f>'Invnetory Study Results'!$AV$40:$AV$47</c:f>
              <c:numCache>
                <c:formatCode>0.0</c:formatCode>
                <c:ptCount val="8"/>
                <c:pt idx="0">
                  <c:v>10.122448979591837</c:v>
                </c:pt>
                <c:pt idx="1">
                  <c:v>0</c:v>
                </c:pt>
                <c:pt idx="2">
                  <c:v>10.258503401360544</c:v>
                </c:pt>
                <c:pt idx="3">
                  <c:v>0</c:v>
                </c:pt>
                <c:pt idx="4">
                  <c:v>5.7414965986394551</c:v>
                </c:pt>
                <c:pt idx="5">
                  <c:v>25.442176870748302</c:v>
                </c:pt>
                <c:pt idx="6">
                  <c:v>48.435374149659864</c:v>
                </c:pt>
                <c:pt idx="7">
                  <c:v>0</c:v>
                </c:pt>
              </c:numCache>
            </c:numRef>
          </c:val>
        </c:ser>
        <c:axId val="60484224"/>
        <c:axId val="60506880"/>
      </c:barChart>
      <c:catAx>
        <c:axId val="60484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>
                    <a:latin typeface="Arial" pitchFamily="34" charset="0"/>
                    <a:cs typeface="Arial" pitchFamily="34" charset="0"/>
                  </a:defRPr>
                </a:pPr>
                <a:r>
                  <a:rPr lang="en-GB" sz="900" b="0">
                    <a:latin typeface="Arial" pitchFamily="34" charset="0"/>
                    <a:cs typeface="Arial" pitchFamily="34" charset="0"/>
                  </a:rPr>
                  <a:t>Life</a:t>
                </a:r>
                <a:r>
                  <a:rPr lang="en-GB" sz="900" b="0" baseline="0">
                    <a:latin typeface="Arial" pitchFamily="34" charset="0"/>
                    <a:cs typeface="Arial" pitchFamily="34" charset="0"/>
                  </a:rPr>
                  <a:t> Cycle Product Stage</a:t>
                </a:r>
                <a:endParaRPr lang="en-GB" sz="90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42100726109801251"/>
              <c:y val="0.9320700091060045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/>
          <a:lstStyle/>
          <a:p>
            <a:pPr>
              <a:defRPr lang="en-GB"/>
            </a:pPr>
            <a:endParaRPr lang="en-US"/>
          </a:p>
        </c:txPr>
        <c:crossAx val="60506880"/>
        <c:crosses val="autoZero"/>
        <c:auto val="1"/>
        <c:lblAlgn val="ctr"/>
        <c:lblOffset val="100"/>
      </c:catAx>
      <c:valAx>
        <c:axId val="60506880"/>
        <c:scaling>
          <c:orientation val="minMax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GB" sz="900" b="0">
                    <a:latin typeface="Arial" pitchFamily="34" charset="0"/>
                    <a:cs typeface="Arial" pitchFamily="34" charset="0"/>
                  </a:defRPr>
                </a:pPr>
                <a:r>
                  <a:rPr lang="en-GB" sz="900" b="0">
                    <a:latin typeface="Arial" pitchFamily="34" charset="0"/>
                    <a:cs typeface="Arial" pitchFamily="34" charset="0"/>
                  </a:rPr>
                  <a:t>Percentage</a:t>
                </a:r>
                <a:r>
                  <a:rPr lang="en-GB" sz="900" b="0" baseline="0">
                    <a:latin typeface="Arial" pitchFamily="34" charset="0"/>
                    <a:cs typeface="Arial" pitchFamily="34" charset="0"/>
                  </a:rPr>
                  <a:t> of Total Baseline Disposal Impact</a:t>
                </a:r>
                <a:endParaRPr lang="en-GB" sz="900" b="0">
                  <a:latin typeface="Arial" pitchFamily="34" charset="0"/>
                  <a:cs typeface="Arial" pitchFamily="34" charset="0"/>
                </a:endParaRPr>
              </a:p>
            </c:rich>
          </c:tx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/>
          <a:lstStyle/>
          <a:p>
            <a:pPr>
              <a:defRPr lang="en-GB"/>
            </a:pPr>
            <a:endParaRPr lang="en-US"/>
          </a:p>
        </c:txPr>
        <c:crossAx val="60484224"/>
        <c:crosses val="autoZero"/>
        <c:crossBetween val="between"/>
      </c:valAx>
      <c:spPr>
        <a:solidFill>
          <a:srgbClr val="FFFFFF"/>
        </a:solidFill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045152289738281"/>
          <c:y val="1.5306122448979591E-2"/>
          <c:w val="0.20864680804196287"/>
          <c:h val="6.1224489795918366E-2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GB" sz="9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5721669778391104"/>
          <c:y val="0.25"/>
          <c:w val="0.81443400438347313"/>
          <c:h val="0.42763157894736803"/>
        </c:manualLayout>
      </c:layout>
      <c:barChart>
        <c:barDir val="col"/>
        <c:grouping val="clustered"/>
        <c:ser>
          <c:idx val="0"/>
          <c:order val="0"/>
          <c:tx>
            <c:strRef>
              <c:f>'Inventory Study Costs'!$I$1</c:f>
              <c:strCache>
                <c:ptCount val="1"/>
                <c:pt idx="0">
                  <c:v>Disposal 10te/HHISO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'Inventory Study Costs'!$H$2:$H$6</c:f>
              <c:strCache>
                <c:ptCount val="5"/>
                <c:pt idx="0">
                  <c:v>RSRL 2013/14</c:v>
                </c:pt>
                <c:pt idx="1">
                  <c:v>RSRL 2014/15</c:v>
                </c:pt>
                <c:pt idx="2">
                  <c:v>RSRL 2015/16</c:v>
                </c:pt>
                <c:pt idx="3">
                  <c:v>RSRL 2016/17</c:v>
                </c:pt>
                <c:pt idx="4">
                  <c:v>RSRL 2017/18</c:v>
                </c:pt>
              </c:strCache>
            </c:strRef>
          </c:cat>
          <c:val>
            <c:numRef>
              <c:f>'Inventory Study Costs'!$I$2:$I$6</c:f>
              <c:numCache>
                <c:formatCode>General</c:formatCode>
                <c:ptCount val="5"/>
                <c:pt idx="0">
                  <c:v>8011</c:v>
                </c:pt>
                <c:pt idx="1">
                  <c:v>7898</c:v>
                </c:pt>
                <c:pt idx="2">
                  <c:v>8737</c:v>
                </c:pt>
                <c:pt idx="3">
                  <c:v>8971</c:v>
                </c:pt>
                <c:pt idx="4">
                  <c:v>8467</c:v>
                </c:pt>
              </c:numCache>
            </c:numRef>
          </c:val>
        </c:ser>
        <c:ser>
          <c:idx val="1"/>
          <c:order val="1"/>
          <c:tx>
            <c:strRef>
              <c:f>'Inventory Study Costs'!$J$1</c:f>
              <c:strCache>
                <c:ptCount val="1"/>
                <c:pt idx="0">
                  <c:v>Disposal 15te/HHISO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'Inventory Study Costs'!$H$2:$H$6</c:f>
              <c:strCache>
                <c:ptCount val="5"/>
                <c:pt idx="0">
                  <c:v>RSRL 2013/14</c:v>
                </c:pt>
                <c:pt idx="1">
                  <c:v>RSRL 2014/15</c:v>
                </c:pt>
                <c:pt idx="2">
                  <c:v>RSRL 2015/16</c:v>
                </c:pt>
                <c:pt idx="3">
                  <c:v>RSRL 2016/17</c:v>
                </c:pt>
                <c:pt idx="4">
                  <c:v>RSRL 2017/18</c:v>
                </c:pt>
              </c:strCache>
            </c:strRef>
          </c:cat>
          <c:val>
            <c:numRef>
              <c:f>'Inventory Study Costs'!$J$2:$J$6</c:f>
              <c:numCache>
                <c:formatCode>General</c:formatCode>
                <c:ptCount val="5"/>
                <c:pt idx="0">
                  <c:v>5341</c:v>
                </c:pt>
                <c:pt idx="1">
                  <c:v>5265</c:v>
                </c:pt>
                <c:pt idx="2">
                  <c:v>5825</c:v>
                </c:pt>
                <c:pt idx="3">
                  <c:v>5981</c:v>
                </c:pt>
                <c:pt idx="4">
                  <c:v>5645</c:v>
                </c:pt>
              </c:numCache>
            </c:numRef>
          </c:val>
        </c:ser>
        <c:ser>
          <c:idx val="2"/>
          <c:order val="2"/>
          <c:tx>
            <c:strRef>
              <c:f>'Inventory Study Costs'!$K$1</c:f>
              <c:strCache>
                <c:ptCount val="1"/>
                <c:pt idx="0">
                  <c:v>Disposal 21te/HHISO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'Inventory Study Costs'!$H$2:$H$6</c:f>
              <c:strCache>
                <c:ptCount val="5"/>
                <c:pt idx="0">
                  <c:v>RSRL 2013/14</c:v>
                </c:pt>
                <c:pt idx="1">
                  <c:v>RSRL 2014/15</c:v>
                </c:pt>
                <c:pt idx="2">
                  <c:v>RSRL 2015/16</c:v>
                </c:pt>
                <c:pt idx="3">
                  <c:v>RSRL 2016/17</c:v>
                </c:pt>
                <c:pt idx="4">
                  <c:v>RSRL 2017/18</c:v>
                </c:pt>
              </c:strCache>
            </c:strRef>
          </c:cat>
          <c:val>
            <c:numRef>
              <c:f>'Inventory Study Costs'!$K$2:$K$6</c:f>
              <c:numCache>
                <c:formatCode>General</c:formatCode>
                <c:ptCount val="5"/>
                <c:pt idx="0">
                  <c:v>3815</c:v>
                </c:pt>
                <c:pt idx="1">
                  <c:v>3761</c:v>
                </c:pt>
                <c:pt idx="2">
                  <c:v>4160</c:v>
                </c:pt>
                <c:pt idx="3">
                  <c:v>4009</c:v>
                </c:pt>
                <c:pt idx="4">
                  <c:v>4032</c:v>
                </c:pt>
              </c:numCache>
            </c:numRef>
          </c:val>
        </c:ser>
        <c:axId val="46341120"/>
        <c:axId val="46380544"/>
      </c:barChart>
      <c:lineChart>
        <c:grouping val="standard"/>
        <c:ser>
          <c:idx val="3"/>
          <c:order val="3"/>
          <c:tx>
            <c:strRef>
              <c:f>'Inventory Study Costs'!$L$1</c:f>
              <c:strCache>
                <c:ptCount val="1"/>
                <c:pt idx="0">
                  <c:v>Treatment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'Inventory Study Costs'!$H$2:$H$6</c:f>
              <c:strCache>
                <c:ptCount val="5"/>
                <c:pt idx="0">
                  <c:v>RSRL 2013/14</c:v>
                </c:pt>
                <c:pt idx="1">
                  <c:v>RSRL 2014/15</c:v>
                </c:pt>
                <c:pt idx="2">
                  <c:v>RSRL 2015/16</c:v>
                </c:pt>
                <c:pt idx="3">
                  <c:v>RSRL 2016/17</c:v>
                </c:pt>
                <c:pt idx="4">
                  <c:v>RSRL 2017/18</c:v>
                </c:pt>
              </c:strCache>
            </c:strRef>
          </c:cat>
          <c:val>
            <c:numRef>
              <c:f>'Inventory Study Costs'!$L$2:$L$6</c:f>
              <c:numCache>
                <c:formatCode>General</c:formatCode>
                <c:ptCount val="5"/>
                <c:pt idx="0">
                  <c:v>4756</c:v>
                </c:pt>
                <c:pt idx="1">
                  <c:v>4666</c:v>
                </c:pt>
                <c:pt idx="2">
                  <c:v>5195</c:v>
                </c:pt>
                <c:pt idx="3">
                  <c:v>5221</c:v>
                </c:pt>
                <c:pt idx="4">
                  <c:v>4708</c:v>
                </c:pt>
              </c:numCache>
            </c:numRef>
          </c:val>
        </c:ser>
        <c:marker val="1"/>
        <c:axId val="46341120"/>
        <c:axId val="46380544"/>
      </c:lineChart>
      <c:catAx>
        <c:axId val="463411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Company &amp; Year</a:t>
                </a:r>
              </a:p>
            </c:rich>
          </c:tx>
          <c:layout>
            <c:manualLayout>
              <c:xMode val="edge"/>
              <c:yMode val="edge"/>
              <c:x val="0.47272709958874187"/>
              <c:y val="0.855557063987691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80544"/>
        <c:crosses val="autoZero"/>
        <c:auto val="1"/>
        <c:lblAlgn val="ctr"/>
        <c:lblOffset val="100"/>
        <c:tickLblSkip val="1"/>
        <c:tickMarkSkip val="1"/>
      </c:catAx>
      <c:valAx>
        <c:axId val="463805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Cost (£/te)</a:t>
                </a:r>
              </a:p>
            </c:rich>
          </c:tx>
          <c:layout>
            <c:manualLayout>
              <c:xMode val="edge"/>
              <c:yMode val="edge"/>
              <c:x val="3.3766255408550126E-2"/>
              <c:y val="0.355555706398769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4112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54545454545455"/>
          <c:y val="3.8961203671214112E-2"/>
          <c:w val="0.625"/>
          <c:h val="7.792240734242822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00" b="0" i="0" u="none" strike="noStrike" baseline="0">
              <a:solidFill>
                <a:srgbClr val="000000"/>
              </a:solidFill>
              <a:latin typeface="Times New Roman "/>
              <a:ea typeface="Times New Roman "/>
              <a:cs typeface="Times New Roman 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4838692744052201"/>
          <c:y val="0.23383084577114402"/>
          <c:w val="0.827956142578952"/>
          <c:h val="0.52238766795941494"/>
        </c:manualLayout>
      </c:layout>
      <c:barChart>
        <c:barDir val="col"/>
        <c:grouping val="clustered"/>
        <c:ser>
          <c:idx val="0"/>
          <c:order val="0"/>
          <c:tx>
            <c:strRef>
              <c:f>'Inventory Study Costs'!$I$15</c:f>
              <c:strCache>
                <c:ptCount val="1"/>
                <c:pt idx="0">
                  <c:v>Disposal 10te/HHISO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'Inventory Study Costs'!$H$16:$H$20</c:f>
              <c:strCache>
                <c:ptCount val="5"/>
                <c:pt idx="0">
                  <c:v>Magnox 2013/14</c:v>
                </c:pt>
                <c:pt idx="1">
                  <c:v>Magnox 2014/15</c:v>
                </c:pt>
                <c:pt idx="2">
                  <c:v>Magnox 2015/16</c:v>
                </c:pt>
                <c:pt idx="3">
                  <c:v>Magnox 2016/17</c:v>
                </c:pt>
                <c:pt idx="4">
                  <c:v>Magnox 2017/18</c:v>
                </c:pt>
              </c:strCache>
            </c:strRef>
          </c:cat>
          <c:val>
            <c:numRef>
              <c:f>'Inventory Study Costs'!$I$16:$I$20</c:f>
              <c:numCache>
                <c:formatCode>General</c:formatCode>
                <c:ptCount val="5"/>
                <c:pt idx="0">
                  <c:v>7562</c:v>
                </c:pt>
                <c:pt idx="1">
                  <c:v>7797</c:v>
                </c:pt>
                <c:pt idx="2">
                  <c:v>7995</c:v>
                </c:pt>
                <c:pt idx="3">
                  <c:v>8284</c:v>
                </c:pt>
                <c:pt idx="4">
                  <c:v>8448</c:v>
                </c:pt>
              </c:numCache>
            </c:numRef>
          </c:val>
        </c:ser>
        <c:ser>
          <c:idx val="1"/>
          <c:order val="1"/>
          <c:tx>
            <c:strRef>
              <c:f>'Inventory Study Costs'!$J$15</c:f>
              <c:strCache>
                <c:ptCount val="1"/>
                <c:pt idx="0">
                  <c:v>Disposal 15te/HHISO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'Inventory Study Costs'!$H$16:$H$20</c:f>
              <c:strCache>
                <c:ptCount val="5"/>
                <c:pt idx="0">
                  <c:v>Magnox 2013/14</c:v>
                </c:pt>
                <c:pt idx="1">
                  <c:v>Magnox 2014/15</c:v>
                </c:pt>
                <c:pt idx="2">
                  <c:v>Magnox 2015/16</c:v>
                </c:pt>
                <c:pt idx="3">
                  <c:v>Magnox 2016/17</c:v>
                </c:pt>
                <c:pt idx="4">
                  <c:v>Magnox 2017/18</c:v>
                </c:pt>
              </c:strCache>
            </c:strRef>
          </c:cat>
          <c:val>
            <c:numRef>
              <c:f>'Inventory Study Costs'!$J$16:$J$20</c:f>
              <c:numCache>
                <c:formatCode>General</c:formatCode>
                <c:ptCount val="5"/>
                <c:pt idx="0">
                  <c:v>5041</c:v>
                </c:pt>
                <c:pt idx="1">
                  <c:v>5198</c:v>
                </c:pt>
                <c:pt idx="2">
                  <c:v>5330</c:v>
                </c:pt>
                <c:pt idx="3">
                  <c:v>5523</c:v>
                </c:pt>
                <c:pt idx="4">
                  <c:v>5632</c:v>
                </c:pt>
              </c:numCache>
            </c:numRef>
          </c:val>
        </c:ser>
        <c:ser>
          <c:idx val="2"/>
          <c:order val="2"/>
          <c:tx>
            <c:strRef>
              <c:f>'Inventory Study Costs'!$K$15</c:f>
              <c:strCache>
                <c:ptCount val="1"/>
                <c:pt idx="0">
                  <c:v>Disposal 21te/HHISO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'Inventory Study Costs'!$H$16:$H$20</c:f>
              <c:strCache>
                <c:ptCount val="5"/>
                <c:pt idx="0">
                  <c:v>Magnox 2013/14</c:v>
                </c:pt>
                <c:pt idx="1">
                  <c:v>Magnox 2014/15</c:v>
                </c:pt>
                <c:pt idx="2">
                  <c:v>Magnox 2015/16</c:v>
                </c:pt>
                <c:pt idx="3">
                  <c:v>Magnox 2016/17</c:v>
                </c:pt>
                <c:pt idx="4">
                  <c:v>Magnox 2017/18</c:v>
                </c:pt>
              </c:strCache>
            </c:strRef>
          </c:cat>
          <c:val>
            <c:numRef>
              <c:f>'Inventory Study Costs'!$K$16:$K$20</c:f>
              <c:numCache>
                <c:formatCode>General</c:formatCode>
                <c:ptCount val="5"/>
                <c:pt idx="0">
                  <c:v>3601</c:v>
                </c:pt>
                <c:pt idx="1">
                  <c:v>3713</c:v>
                </c:pt>
                <c:pt idx="2">
                  <c:v>3807</c:v>
                </c:pt>
                <c:pt idx="3">
                  <c:v>3945</c:v>
                </c:pt>
                <c:pt idx="4">
                  <c:v>4023</c:v>
                </c:pt>
              </c:numCache>
            </c:numRef>
          </c:val>
        </c:ser>
        <c:axId val="46394752"/>
        <c:axId val="46417792"/>
      </c:barChart>
      <c:lineChart>
        <c:grouping val="standard"/>
        <c:ser>
          <c:idx val="3"/>
          <c:order val="3"/>
          <c:tx>
            <c:strRef>
              <c:f>'Inventory Study Costs'!$L$15</c:f>
              <c:strCache>
                <c:ptCount val="1"/>
                <c:pt idx="0">
                  <c:v>Treatment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'Inventory Study Costs'!$H$16:$H$20</c:f>
              <c:strCache>
                <c:ptCount val="5"/>
                <c:pt idx="0">
                  <c:v>Magnox 2013/14</c:v>
                </c:pt>
                <c:pt idx="1">
                  <c:v>Magnox 2014/15</c:v>
                </c:pt>
                <c:pt idx="2">
                  <c:v>Magnox 2015/16</c:v>
                </c:pt>
                <c:pt idx="3">
                  <c:v>Magnox 2016/17</c:v>
                </c:pt>
                <c:pt idx="4">
                  <c:v>Magnox 2017/18</c:v>
                </c:pt>
              </c:strCache>
            </c:strRef>
          </c:cat>
          <c:val>
            <c:numRef>
              <c:f>'Inventory Study Costs'!$L$16:$L$20</c:f>
              <c:numCache>
                <c:formatCode>General</c:formatCode>
                <c:ptCount val="5"/>
                <c:pt idx="0">
                  <c:v>4571</c:v>
                </c:pt>
                <c:pt idx="1">
                  <c:v>4646</c:v>
                </c:pt>
                <c:pt idx="2">
                  <c:v>4617</c:v>
                </c:pt>
                <c:pt idx="3">
                  <c:v>4664</c:v>
                </c:pt>
                <c:pt idx="4">
                  <c:v>4672</c:v>
                </c:pt>
              </c:numCache>
            </c:numRef>
          </c:val>
        </c:ser>
        <c:marker val="1"/>
        <c:axId val="46394752"/>
        <c:axId val="46417792"/>
      </c:lineChart>
      <c:catAx>
        <c:axId val="463947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Company and Year</a:t>
                </a:r>
              </a:p>
            </c:rich>
          </c:tx>
          <c:layout>
            <c:manualLayout>
              <c:xMode val="edge"/>
              <c:yMode val="edge"/>
              <c:x val="0.46170652825700154"/>
              <c:y val="0.8879301132134602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17792"/>
        <c:crosses val="autoZero"/>
        <c:auto val="1"/>
        <c:lblAlgn val="ctr"/>
        <c:lblOffset val="100"/>
        <c:tickLblSkip val="1"/>
        <c:tickMarkSkip val="1"/>
      </c:catAx>
      <c:valAx>
        <c:axId val="464177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Cost (£/te)</a:t>
                </a:r>
              </a:p>
            </c:rich>
          </c:tx>
          <c:layout>
            <c:manualLayout>
              <c:xMode val="edge"/>
              <c:yMode val="edge"/>
              <c:x val="2.8446331848968318E-2"/>
              <c:y val="0.3922406863321189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9475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101123595505617"/>
          <c:y val="2.9850746268656716E-2"/>
          <c:w val="0.66479400749063666"/>
          <c:h val="7.462686567164178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3548370163407"/>
          <c:y val="0.20512780133252601"/>
          <c:w val="0.84085936838540309"/>
          <c:h val="0.53846032707449998"/>
        </c:manualLayout>
      </c:layout>
      <c:barChart>
        <c:barDir val="col"/>
        <c:grouping val="clustered"/>
        <c:ser>
          <c:idx val="0"/>
          <c:order val="0"/>
          <c:tx>
            <c:strRef>
              <c:f>'Inventory Study Costs'!$I$35</c:f>
              <c:strCache>
                <c:ptCount val="1"/>
                <c:pt idx="0">
                  <c:v>Disposal 10te/HHISO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'Inventory Study Costs'!$H$36:$H$40</c:f>
              <c:strCache>
                <c:ptCount val="5"/>
                <c:pt idx="0">
                  <c:v>Sellafield 2013/14</c:v>
                </c:pt>
                <c:pt idx="1">
                  <c:v>Sellafield 2014/15</c:v>
                </c:pt>
                <c:pt idx="2">
                  <c:v>Sellafield 2015/16</c:v>
                </c:pt>
                <c:pt idx="3">
                  <c:v>Sellafield 2016/17</c:v>
                </c:pt>
                <c:pt idx="4">
                  <c:v>Sellafield 2017/18</c:v>
                </c:pt>
              </c:strCache>
            </c:strRef>
          </c:cat>
          <c:val>
            <c:numRef>
              <c:f>'Inventory Study Costs'!$I$36:$I$40</c:f>
              <c:numCache>
                <c:formatCode>General</c:formatCode>
                <c:ptCount val="5"/>
                <c:pt idx="0">
                  <c:v>7552</c:v>
                </c:pt>
                <c:pt idx="1">
                  <c:v>7777</c:v>
                </c:pt>
                <c:pt idx="2">
                  <c:v>7984</c:v>
                </c:pt>
                <c:pt idx="3">
                  <c:v>8197</c:v>
                </c:pt>
                <c:pt idx="4">
                  <c:v>8418</c:v>
                </c:pt>
              </c:numCache>
            </c:numRef>
          </c:val>
        </c:ser>
        <c:ser>
          <c:idx val="1"/>
          <c:order val="1"/>
          <c:tx>
            <c:strRef>
              <c:f>'Inventory Study Costs'!$J$35</c:f>
              <c:strCache>
                <c:ptCount val="1"/>
                <c:pt idx="0">
                  <c:v>Disposal 15te/HHISO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'Inventory Study Costs'!$H$36:$H$40</c:f>
              <c:strCache>
                <c:ptCount val="5"/>
                <c:pt idx="0">
                  <c:v>Sellafield 2013/14</c:v>
                </c:pt>
                <c:pt idx="1">
                  <c:v>Sellafield 2014/15</c:v>
                </c:pt>
                <c:pt idx="2">
                  <c:v>Sellafield 2015/16</c:v>
                </c:pt>
                <c:pt idx="3">
                  <c:v>Sellafield 2016/17</c:v>
                </c:pt>
                <c:pt idx="4">
                  <c:v>Sellafield 2017/18</c:v>
                </c:pt>
              </c:strCache>
            </c:strRef>
          </c:cat>
          <c:val>
            <c:numRef>
              <c:f>'Inventory Study Costs'!$J$36:$J$40</c:f>
              <c:numCache>
                <c:formatCode>General</c:formatCode>
                <c:ptCount val="5"/>
                <c:pt idx="0">
                  <c:v>5035</c:v>
                </c:pt>
                <c:pt idx="1">
                  <c:v>5185</c:v>
                </c:pt>
                <c:pt idx="2">
                  <c:v>5323</c:v>
                </c:pt>
                <c:pt idx="3">
                  <c:v>5465</c:v>
                </c:pt>
                <c:pt idx="4">
                  <c:v>5612</c:v>
                </c:pt>
              </c:numCache>
            </c:numRef>
          </c:val>
        </c:ser>
        <c:ser>
          <c:idx val="2"/>
          <c:order val="2"/>
          <c:tx>
            <c:strRef>
              <c:f>'Inventory Study Costs'!$K$35</c:f>
              <c:strCache>
                <c:ptCount val="1"/>
                <c:pt idx="0">
                  <c:v>Disposal 21te/HHISO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'Inventory Study Costs'!$H$36:$H$40</c:f>
              <c:strCache>
                <c:ptCount val="5"/>
                <c:pt idx="0">
                  <c:v>Sellafield 2013/14</c:v>
                </c:pt>
                <c:pt idx="1">
                  <c:v>Sellafield 2014/15</c:v>
                </c:pt>
                <c:pt idx="2">
                  <c:v>Sellafield 2015/16</c:v>
                </c:pt>
                <c:pt idx="3">
                  <c:v>Sellafield 2016/17</c:v>
                </c:pt>
                <c:pt idx="4">
                  <c:v>Sellafield 2017/18</c:v>
                </c:pt>
              </c:strCache>
            </c:strRef>
          </c:cat>
          <c:val>
            <c:numRef>
              <c:f>'Inventory Study Costs'!$K$36:$K$40</c:f>
              <c:numCache>
                <c:formatCode>General</c:formatCode>
                <c:ptCount val="5"/>
                <c:pt idx="0">
                  <c:v>3596</c:v>
                </c:pt>
                <c:pt idx="1">
                  <c:v>3703</c:v>
                </c:pt>
                <c:pt idx="2">
                  <c:v>3802</c:v>
                </c:pt>
                <c:pt idx="3">
                  <c:v>3903</c:v>
                </c:pt>
                <c:pt idx="4">
                  <c:v>4009</c:v>
                </c:pt>
              </c:numCache>
            </c:numRef>
          </c:val>
        </c:ser>
        <c:axId val="46698496"/>
        <c:axId val="46700800"/>
      </c:barChart>
      <c:lineChart>
        <c:grouping val="standard"/>
        <c:ser>
          <c:idx val="3"/>
          <c:order val="3"/>
          <c:tx>
            <c:strRef>
              <c:f>'Inventory Study Costs'!$L$35</c:f>
              <c:strCache>
                <c:ptCount val="1"/>
                <c:pt idx="0">
                  <c:v>Treatment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'Inventory Study Costs'!$H$36:$H$40</c:f>
              <c:strCache>
                <c:ptCount val="5"/>
                <c:pt idx="0">
                  <c:v>Sellafield 2013/14</c:v>
                </c:pt>
                <c:pt idx="1">
                  <c:v>Sellafield 2014/15</c:v>
                </c:pt>
                <c:pt idx="2">
                  <c:v>Sellafield 2015/16</c:v>
                </c:pt>
                <c:pt idx="3">
                  <c:v>Sellafield 2016/17</c:v>
                </c:pt>
                <c:pt idx="4">
                  <c:v>Sellafield 2017/18</c:v>
                </c:pt>
              </c:strCache>
            </c:strRef>
          </c:cat>
          <c:val>
            <c:numRef>
              <c:f>'Inventory Study Costs'!$L$36:$L$40</c:f>
              <c:numCache>
                <c:formatCode>General</c:formatCode>
                <c:ptCount val="5"/>
                <c:pt idx="0">
                  <c:v>4580</c:v>
                </c:pt>
                <c:pt idx="1">
                  <c:v>4615</c:v>
                </c:pt>
                <c:pt idx="2">
                  <c:v>4627</c:v>
                </c:pt>
                <c:pt idx="3">
                  <c:v>4639</c:v>
                </c:pt>
                <c:pt idx="4">
                  <c:v>4651</c:v>
                </c:pt>
              </c:numCache>
            </c:numRef>
          </c:val>
        </c:ser>
        <c:marker val="1"/>
        <c:axId val="46698496"/>
        <c:axId val="46700800"/>
      </c:lineChart>
      <c:catAx>
        <c:axId val="466984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Company &amp; Year</a:t>
                </a:r>
              </a:p>
            </c:rich>
          </c:tx>
          <c:layout>
            <c:manualLayout>
              <c:xMode val="edge"/>
              <c:yMode val="edge"/>
              <c:x val="0.47368368279807721"/>
              <c:y val="0.8652854107522274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00800"/>
        <c:crosses val="autoZero"/>
        <c:auto val="1"/>
        <c:lblAlgn val="ctr"/>
        <c:lblOffset val="100"/>
        <c:tickLblSkip val="1"/>
        <c:tickMarkSkip val="1"/>
      </c:catAx>
      <c:valAx>
        <c:axId val="467008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Cost (£/te)</a:t>
                </a:r>
              </a:p>
            </c:rich>
          </c:tx>
          <c:layout>
            <c:manualLayout>
              <c:xMode val="edge"/>
              <c:yMode val="edge"/>
              <c:x val="2.8508655519183697E-2"/>
              <c:y val="0.3626943060688842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69849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651685393258425"/>
          <c:y val="3.4013605442176874E-2"/>
          <c:w val="0.5"/>
          <c:h val="7.142857142857142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Radioactive Waste by Mass (tonne)  April 2007</a:t>
            </a:r>
          </a:p>
        </c:rich>
      </c:tx>
      <c:layout>
        <c:manualLayout>
          <c:xMode val="edge"/>
          <c:yMode val="edge"/>
          <c:x val="0.12099563713476212"/>
          <c:y val="3.55555555555555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52357288380791278"/>
          <c:y val="0.55454576224352015"/>
          <c:w val="0.15880883679481703"/>
          <c:h val="0.29090925232447007"/>
        </c:manualLayout>
      </c:layout>
      <c:pieChart>
        <c:ser>
          <c:idx val="0"/>
          <c:order val="0"/>
          <c:tx>
            <c:strRef>
              <c:f>'General metal graphs'!$A$101</c:f>
              <c:strCache>
                <c:ptCount val="1"/>
                <c:pt idx="0">
                  <c:v>Mass (tonne)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5.5325002534356614E-4"/>
                  <c:y val="-8.025100399671761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CatName val="1"/>
            </c:dLbl>
            <c:dLbl>
              <c:idx val="1"/>
              <c:layout>
                <c:manualLayout>
                  <c:x val="-2.6135753841728105E-2"/>
                  <c:y val="5.854925979866501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Val val="1"/>
            </c:dLbl>
            <c:dLbl>
              <c:idx val="2"/>
              <c:layout>
                <c:manualLayout>
                  <c:x val="4.4751056860446309E-2"/>
                  <c:y val="-0.1538476973356070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Helvetica Neue"/>
                    <a:ea typeface="Helvetica Neue"/>
                    <a:cs typeface="Helvetica Neue"/>
                  </a:defRPr>
                </a:pPr>
                <a:endParaRPr lang="en-US"/>
              </a:p>
            </c:txPr>
            <c:showCatName val="1"/>
          </c:dLbls>
          <c:cat>
            <c:strRef>
              <c:f>'General metal graphs'!$B$100:$D$100</c:f>
              <c:strCache>
                <c:ptCount val="3"/>
                <c:pt idx="0">
                  <c:v>HLW</c:v>
                </c:pt>
                <c:pt idx="1">
                  <c:v>ILW</c:v>
                </c:pt>
                <c:pt idx="2">
                  <c:v>LLW</c:v>
                </c:pt>
              </c:strCache>
            </c:strRef>
          </c:cat>
          <c:val>
            <c:numRef>
              <c:f>'General metal graphs'!$B$101:$D$101</c:f>
              <c:numCache>
                <c:formatCode>#,##0</c:formatCode>
                <c:ptCount val="3"/>
                <c:pt idx="0">
                  <c:v>2900</c:v>
                </c:pt>
                <c:pt idx="1">
                  <c:v>270000</c:v>
                </c:pt>
                <c:pt idx="2">
                  <c:v>3600000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5229488957644298"/>
          <c:y val="0.88514589842061719"/>
          <c:w val="0.29715992745118958"/>
          <c:h val="9.1675825193563917E-2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8609377344205"/>
          <c:y val="0.13120561696343699"/>
          <c:w val="0.85889549111320918"/>
          <c:h val="0.6737585735960302"/>
        </c:manualLayout>
      </c:layout>
      <c:lineChart>
        <c:grouping val="standard"/>
        <c:ser>
          <c:idx val="0"/>
          <c:order val="0"/>
          <c:tx>
            <c:strRef>
              <c:f>'General metal graphs'!$B$248</c:f>
              <c:strCache>
                <c:ptCount val="1"/>
                <c:pt idx="0">
                  <c:v>50 years after start-up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'General metal graphs'!$A$249:$A$261</c:f>
              <c:numCache>
                <c:formatCode>General</c:formatCode>
                <c:ptCount val="13"/>
                <c:pt idx="0">
                  <c:v>2</c:v>
                </c:pt>
                <c:pt idx="1">
                  <c:v>5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17</c:v>
                </c:pt>
                <c:pt idx="6">
                  <c:v>19</c:v>
                </c:pt>
                <c:pt idx="7">
                  <c:v>21</c:v>
                </c:pt>
                <c:pt idx="8">
                  <c:v>23</c:v>
                </c:pt>
                <c:pt idx="9">
                  <c:v>25</c:v>
                </c:pt>
                <c:pt idx="10">
                  <c:v>27</c:v>
                </c:pt>
                <c:pt idx="11">
                  <c:v>28</c:v>
                </c:pt>
                <c:pt idx="12">
                  <c:v>30</c:v>
                </c:pt>
              </c:numCache>
            </c:numRef>
          </c:cat>
          <c:val>
            <c:numRef>
              <c:f>'General metal graphs'!$B$249:$B$261</c:f>
              <c:numCache>
                <c:formatCode>General</c:formatCode>
                <c:ptCount val="13"/>
                <c:pt idx="0">
                  <c:v>5213</c:v>
                </c:pt>
                <c:pt idx="1">
                  <c:v>9198</c:v>
                </c:pt>
                <c:pt idx="2">
                  <c:v>4373</c:v>
                </c:pt>
                <c:pt idx="3">
                  <c:v>13355</c:v>
                </c:pt>
                <c:pt idx="4">
                  <c:v>14178</c:v>
                </c:pt>
                <c:pt idx="5">
                  <c:v>15298</c:v>
                </c:pt>
                <c:pt idx="6">
                  <c:v>20797</c:v>
                </c:pt>
                <c:pt idx="7">
                  <c:v>36168</c:v>
                </c:pt>
                <c:pt idx="8">
                  <c:v>16786</c:v>
                </c:pt>
                <c:pt idx="9">
                  <c:v>53679</c:v>
                </c:pt>
                <c:pt idx="10">
                  <c:v>19167</c:v>
                </c:pt>
                <c:pt idx="11">
                  <c:v>33524</c:v>
                </c:pt>
                <c:pt idx="12">
                  <c:v>3729</c:v>
                </c:pt>
              </c:numCache>
            </c:numRef>
          </c:val>
        </c:ser>
        <c:ser>
          <c:idx val="1"/>
          <c:order val="1"/>
          <c:tx>
            <c:strRef>
              <c:f>'General metal graphs'!$C$248</c:f>
              <c:strCache>
                <c:ptCount val="1"/>
                <c:pt idx="0">
                  <c:v>100 years after start-up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'General metal graphs'!$A$249:$A$261</c:f>
              <c:numCache>
                <c:formatCode>General</c:formatCode>
                <c:ptCount val="13"/>
                <c:pt idx="0">
                  <c:v>2</c:v>
                </c:pt>
                <c:pt idx="1">
                  <c:v>5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17</c:v>
                </c:pt>
                <c:pt idx="6">
                  <c:v>19</c:v>
                </c:pt>
                <c:pt idx="7">
                  <c:v>21</c:v>
                </c:pt>
                <c:pt idx="8">
                  <c:v>23</c:v>
                </c:pt>
                <c:pt idx="9">
                  <c:v>25</c:v>
                </c:pt>
                <c:pt idx="10">
                  <c:v>27</c:v>
                </c:pt>
                <c:pt idx="11">
                  <c:v>28</c:v>
                </c:pt>
                <c:pt idx="12">
                  <c:v>30</c:v>
                </c:pt>
              </c:numCache>
            </c:numRef>
          </c:cat>
          <c:val>
            <c:numRef>
              <c:f>'General metal graphs'!$C$249:$C$261</c:f>
              <c:numCache>
                <c:formatCode>General</c:formatCode>
                <c:ptCount val="13"/>
                <c:pt idx="0">
                  <c:v>2606</c:v>
                </c:pt>
                <c:pt idx="1">
                  <c:v>4599</c:v>
                </c:pt>
                <c:pt idx="2">
                  <c:v>2187</c:v>
                </c:pt>
                <c:pt idx="3">
                  <c:v>6678</c:v>
                </c:pt>
                <c:pt idx="4">
                  <c:v>7089</c:v>
                </c:pt>
                <c:pt idx="5">
                  <c:v>7649</c:v>
                </c:pt>
                <c:pt idx="6">
                  <c:v>10398</c:v>
                </c:pt>
                <c:pt idx="7">
                  <c:v>18084</c:v>
                </c:pt>
                <c:pt idx="8">
                  <c:v>8393</c:v>
                </c:pt>
                <c:pt idx="9">
                  <c:v>26839</c:v>
                </c:pt>
                <c:pt idx="10">
                  <c:v>9584</c:v>
                </c:pt>
                <c:pt idx="11">
                  <c:v>16762</c:v>
                </c:pt>
                <c:pt idx="12">
                  <c:v>1864</c:v>
                </c:pt>
              </c:numCache>
            </c:numRef>
          </c:val>
        </c:ser>
        <c:ser>
          <c:idx val="2"/>
          <c:order val="2"/>
          <c:tx>
            <c:strRef>
              <c:f>'General metal graphs'!$D$248</c:f>
              <c:strCache>
                <c:ptCount val="1"/>
                <c:pt idx="0">
                  <c:v>150 years after start-up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'General metal graphs'!$A$249:$A$261</c:f>
              <c:numCache>
                <c:formatCode>General</c:formatCode>
                <c:ptCount val="13"/>
                <c:pt idx="0">
                  <c:v>2</c:v>
                </c:pt>
                <c:pt idx="1">
                  <c:v>5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17</c:v>
                </c:pt>
                <c:pt idx="6">
                  <c:v>19</c:v>
                </c:pt>
                <c:pt idx="7">
                  <c:v>21</c:v>
                </c:pt>
                <c:pt idx="8">
                  <c:v>23</c:v>
                </c:pt>
                <c:pt idx="9">
                  <c:v>25</c:v>
                </c:pt>
                <c:pt idx="10">
                  <c:v>27</c:v>
                </c:pt>
                <c:pt idx="11">
                  <c:v>28</c:v>
                </c:pt>
                <c:pt idx="12">
                  <c:v>30</c:v>
                </c:pt>
              </c:numCache>
            </c:numRef>
          </c:cat>
          <c:val>
            <c:numRef>
              <c:f>'General metal graphs'!$D$249:$D$261</c:f>
              <c:numCache>
                <c:formatCode>General</c:formatCode>
                <c:ptCount val="13"/>
                <c:pt idx="0">
                  <c:v>2085</c:v>
                </c:pt>
                <c:pt idx="1">
                  <c:v>3679</c:v>
                </c:pt>
                <c:pt idx="2">
                  <c:v>1749</c:v>
                </c:pt>
                <c:pt idx="3">
                  <c:v>5342</c:v>
                </c:pt>
                <c:pt idx="4">
                  <c:v>5671</c:v>
                </c:pt>
                <c:pt idx="5">
                  <c:v>6119</c:v>
                </c:pt>
                <c:pt idx="6">
                  <c:v>8319</c:v>
                </c:pt>
                <c:pt idx="7">
                  <c:v>14467</c:v>
                </c:pt>
                <c:pt idx="8">
                  <c:v>6714</c:v>
                </c:pt>
                <c:pt idx="9">
                  <c:v>21471</c:v>
                </c:pt>
                <c:pt idx="10" formatCode="#,##0">
                  <c:v>7667</c:v>
                </c:pt>
                <c:pt idx="11">
                  <c:v>13409</c:v>
                </c:pt>
                <c:pt idx="12">
                  <c:v>1492</c:v>
                </c:pt>
              </c:numCache>
            </c:numRef>
          </c:val>
        </c:ser>
        <c:marker val="1"/>
        <c:axId val="53564928"/>
        <c:axId val="53575680"/>
      </c:lineChart>
      <c:catAx>
        <c:axId val="53564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Years from end of operating life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(Year 4 is reactor shutdown)</a:t>
                </a:r>
              </a:p>
            </c:rich>
          </c:tx>
          <c:layout>
            <c:manualLayout>
              <c:xMode val="edge"/>
              <c:yMode val="edge"/>
              <c:x val="0.39964220472440942"/>
              <c:y val="0.8563707741660496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575680"/>
        <c:crosses val="autoZero"/>
        <c:auto val="1"/>
        <c:lblAlgn val="ctr"/>
        <c:lblOffset val="100"/>
        <c:tickLblSkip val="1"/>
        <c:tickMarkSkip val="1"/>
      </c:catAx>
      <c:valAx>
        <c:axId val="535756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Steel and Iron Activated Inventory (tons)</a:t>
                </a:r>
              </a:p>
            </c:rich>
          </c:tx>
          <c:layout>
            <c:manualLayout>
              <c:xMode val="edge"/>
              <c:yMode val="edge"/>
              <c:x val="2.8673805774278218E-2"/>
              <c:y val="0.1490517531462413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56492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308151093439365"/>
          <c:y val="1.6713091922005572E-2"/>
          <c:w val="0.6500994035785288"/>
          <c:h val="6.128133704735375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5217400278226104"/>
          <c:y val="0.117646905227866"/>
          <c:w val="0.34057991098887008"/>
          <c:h val="0.75400971077859924"/>
        </c:manualLayout>
      </c:layout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explosion val="25"/>
          <c:dPt>
            <c:idx val="0"/>
            <c:spPr>
              <a:solidFill>
                <a:srgbClr val="F79646"/>
              </a:solidFill>
              <a:ln w="12700">
                <a:solidFill>
                  <a:srgbClr val="666699"/>
                </a:solidFill>
                <a:prstDash val="solid"/>
              </a:ln>
            </c:spPr>
          </c:dPt>
          <c:dPt>
            <c:idx val="1"/>
            <c:spPr>
              <a:solidFill>
                <a:srgbClr val="FF0000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8064A2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4BACC6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GB"/>
                </a:pPr>
                <a:endParaRPr lang="en-US"/>
              </a:p>
            </c:txPr>
            <c:showVal val="1"/>
            <c:showLeaderLines val="1"/>
          </c:dLbls>
          <c:cat>
            <c:strRef>
              <c:f>'Inventory Study Costs'!$A$98:$A$102</c:f>
              <c:strCache>
                <c:ptCount val="5"/>
                <c:pt idx="0">
                  <c:v>Metal Treatment Cost</c:v>
                </c:pt>
                <c:pt idx="1">
                  <c:v>Containers Costs</c:v>
                </c:pt>
                <c:pt idx="2">
                  <c:v>Full Container Transport Cost</c:v>
                </c:pt>
                <c:pt idx="3">
                  <c:v>Residual Waste Disposal Cost</c:v>
                </c:pt>
                <c:pt idx="4">
                  <c:v>Empty Container Transport Cost</c:v>
                </c:pt>
              </c:strCache>
            </c:strRef>
          </c:cat>
          <c:val>
            <c:numRef>
              <c:f>'Inventory Study Costs'!$B$98:$B$102</c:f>
              <c:numCache>
                <c:formatCode>0.00</c:formatCode>
                <c:ptCount val="5"/>
                <c:pt idx="0">
                  <c:v>77.971450196571595</c:v>
                </c:pt>
                <c:pt idx="1">
                  <c:v>8.9110228796081827</c:v>
                </c:pt>
                <c:pt idx="2">
                  <c:v>6.1263282297306256</c:v>
                </c:pt>
                <c:pt idx="3">
                  <c:v>6.3228719781189842</c:v>
                </c:pt>
                <c:pt idx="4">
                  <c:v>0.66832671597061366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700524386435"/>
          <c:y val="9.0909056076019693E-2"/>
          <c:w val="0.93719855999210966"/>
          <c:h val="0.89839454374772487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969696"/>
      </a:solidFill>
      <a:prstDash val="solid"/>
    </a:ln>
  </c:sp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6428552329156998"/>
          <c:y val="0.11675126903553301"/>
          <c:w val="0.35476149232527404"/>
          <c:h val="0.75634517766497522"/>
        </c:manualLayout>
      </c:layout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explosion val="25"/>
          <c:dPt>
            <c:idx val="0"/>
          </c:dPt>
          <c:dPt>
            <c:idx val="1"/>
            <c:spPr>
              <a:solidFill>
                <a:srgbClr val="C0504D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9BBB59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8064A2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GB"/>
                </a:pPr>
                <a:endParaRPr lang="en-US"/>
              </a:p>
            </c:txPr>
            <c:showVal val="1"/>
            <c:showLeaderLines val="1"/>
          </c:dLbls>
          <c:cat>
            <c:strRef>
              <c:f>'Inventory Study Costs'!$A$112:$A$115</c:f>
              <c:strCache>
                <c:ptCount val="4"/>
                <c:pt idx="0">
                  <c:v>Disposal Volume Cost</c:v>
                </c:pt>
                <c:pt idx="1">
                  <c:v>Container Cost</c:v>
                </c:pt>
                <c:pt idx="2">
                  <c:v>Activity Cost</c:v>
                </c:pt>
                <c:pt idx="3">
                  <c:v>Transport Costs</c:v>
                </c:pt>
              </c:strCache>
            </c:strRef>
          </c:cat>
          <c:val>
            <c:numRef>
              <c:f>'Inventory Study Costs'!$B$112:$B$115</c:f>
              <c:numCache>
                <c:formatCode>0.0</c:formatCode>
                <c:ptCount val="4"/>
                <c:pt idx="0">
                  <c:v>74.725036036569719</c:v>
                </c:pt>
                <c:pt idx="1">
                  <c:v>10.531234984762619</c:v>
                </c:pt>
                <c:pt idx="2">
                  <c:v>13.164043730953273</c:v>
                </c:pt>
                <c:pt idx="3">
                  <c:v>1.5796852477143928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9285637451056326"/>
          <c:y val="0.31472076407115779"/>
          <c:w val="0.94047523772643182"/>
          <c:h val="0.68020304753572469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969696"/>
      </a:solidFill>
      <a:prstDash val="solid"/>
    </a:ln>
  </c:sp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4508120518924403"/>
          <c:y val="0.18372667653600502"/>
          <c:w val="0.83482896201033907"/>
          <c:h val="0.36582169395038211"/>
        </c:manualLayout>
      </c:layout>
      <c:lineChart>
        <c:grouping val="standard"/>
        <c:ser>
          <c:idx val="0"/>
          <c:order val="0"/>
          <c:tx>
            <c:strRef>
              <c:f>'DNLEU Results'!$B$3</c:f>
              <c:strCache>
                <c:ptCount val="1"/>
                <c:pt idx="0">
                  <c:v>DDS6 Overpacked DNLEU as HAW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'DNLEU Results'!$A$4:$A$21</c:f>
              <c:strCache>
                <c:ptCount val="18"/>
                <c:pt idx="0">
                  <c:v>UUK DV70s</c:v>
                </c:pt>
                <c:pt idx="1">
                  <c:v>CNS(48) DV70s</c:v>
                </c:pt>
                <c:pt idx="2">
                  <c:v>CNS(236) DV70s</c:v>
                </c:pt>
                <c:pt idx="3">
                  <c:v>CNS(MDU) 200l Drums</c:v>
                </c:pt>
                <c:pt idx="4">
                  <c:v>Sella (TPU) 50l Drums</c:v>
                </c:pt>
                <c:pt idx="5">
                  <c:v>Misc (UO3) 200l Drums</c:v>
                </c:pt>
                <c:pt idx="6">
                  <c:v>UUK 4m boxes</c:v>
                </c:pt>
                <c:pt idx="7">
                  <c:v>CNS(48) 4m boxes</c:v>
                </c:pt>
                <c:pt idx="8">
                  <c:v>CNS(236)) 4m boxes</c:v>
                </c:pt>
                <c:pt idx="9">
                  <c:v>CNS(MDU) 4m boxes</c:v>
                </c:pt>
                <c:pt idx="10">
                  <c:v>Sella (TPU) FHISOs</c:v>
                </c:pt>
                <c:pt idx="11">
                  <c:v>Misc (UO3) 4m Boxes</c:v>
                </c:pt>
                <c:pt idx="12">
                  <c:v>UUK Disposal</c:v>
                </c:pt>
                <c:pt idx="13">
                  <c:v>CNS(48) Disposal</c:v>
                </c:pt>
                <c:pt idx="14">
                  <c:v>CNS(236) Disposal</c:v>
                </c:pt>
                <c:pt idx="15">
                  <c:v>CNS(MDU) Disposal</c:v>
                </c:pt>
                <c:pt idx="16">
                  <c:v>Sella (TPU) Disposal</c:v>
                </c:pt>
                <c:pt idx="17">
                  <c:v>Misc (UO3) Disposal</c:v>
                </c:pt>
              </c:strCache>
            </c:strRef>
          </c:cat>
          <c:val>
            <c:numRef>
              <c:f>'DNLEU Results'!$B$4:$B$21</c:f>
              <c:numCache>
                <c:formatCode>0.00</c:formatCode>
                <c:ptCount val="18"/>
                <c:pt idx="0">
                  <c:v>0.83125000000000004</c:v>
                </c:pt>
                <c:pt idx="1">
                  <c:v>0.15562499999999999</c:v>
                </c:pt>
                <c:pt idx="2">
                  <c:v>5.1874999999999998E-2</c:v>
                </c:pt>
                <c:pt idx="3">
                  <c:v>0.60625000000000007</c:v>
                </c:pt>
                <c:pt idx="4">
                  <c:v>0.10843750000000001</c:v>
                </c:pt>
                <c:pt idx="5">
                  <c:v>4.0312500000000001E-2</c:v>
                </c:pt>
                <c:pt idx="6">
                  <c:v>12.812499999999998</c:v>
                </c:pt>
                <c:pt idx="7">
                  <c:v>2.4</c:v>
                </c:pt>
                <c:pt idx="8">
                  <c:v>0.8</c:v>
                </c:pt>
                <c:pt idx="9">
                  <c:v>3.8125</c:v>
                </c:pt>
                <c:pt idx="10">
                  <c:v>0.203125</c:v>
                </c:pt>
                <c:pt idx="11">
                  <c:v>0.25312499999999999</c:v>
                </c:pt>
                <c:pt idx="12">
                  <c:v>61.875</c:v>
                </c:pt>
                <c:pt idx="13">
                  <c:v>11.59375</c:v>
                </c:pt>
                <c:pt idx="14">
                  <c:v>3.875</c:v>
                </c:pt>
                <c:pt idx="15">
                  <c:v>18.3125</c:v>
                </c:pt>
                <c:pt idx="16">
                  <c:v>7.6562500000000009</c:v>
                </c:pt>
                <c:pt idx="17">
                  <c:v>1.23125</c:v>
                </c:pt>
              </c:numCache>
            </c:numRef>
          </c:val>
        </c:ser>
        <c:ser>
          <c:idx val="1"/>
          <c:order val="1"/>
          <c:tx>
            <c:strRef>
              <c:f>'DNLEU Results'!$C$3</c:f>
              <c:strCache>
                <c:ptCount val="1"/>
                <c:pt idx="0">
                  <c:v>SDS1 Overpacked DNLEU as LLW (SS)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'DNLEU Results'!$A$4:$A$21</c:f>
              <c:strCache>
                <c:ptCount val="18"/>
                <c:pt idx="0">
                  <c:v>UUK DV70s</c:v>
                </c:pt>
                <c:pt idx="1">
                  <c:v>CNS(48) DV70s</c:v>
                </c:pt>
                <c:pt idx="2">
                  <c:v>CNS(236) DV70s</c:v>
                </c:pt>
                <c:pt idx="3">
                  <c:v>CNS(MDU) 200l Drums</c:v>
                </c:pt>
                <c:pt idx="4">
                  <c:v>Sella (TPU) 50l Drums</c:v>
                </c:pt>
                <c:pt idx="5">
                  <c:v>Misc (UO3) 200l Drums</c:v>
                </c:pt>
                <c:pt idx="6">
                  <c:v>UUK 4m boxes</c:v>
                </c:pt>
                <c:pt idx="7">
                  <c:v>CNS(48) 4m boxes</c:v>
                </c:pt>
                <c:pt idx="8">
                  <c:v>CNS(236)) 4m boxes</c:v>
                </c:pt>
                <c:pt idx="9">
                  <c:v>CNS(MDU) 4m boxes</c:v>
                </c:pt>
                <c:pt idx="10">
                  <c:v>Sella (TPU) FHISOs</c:v>
                </c:pt>
                <c:pt idx="11">
                  <c:v>Misc (UO3) 4m Boxes</c:v>
                </c:pt>
                <c:pt idx="12">
                  <c:v>UUK Disposal</c:v>
                </c:pt>
                <c:pt idx="13">
                  <c:v>CNS(48) Disposal</c:v>
                </c:pt>
                <c:pt idx="14">
                  <c:v>CNS(236) Disposal</c:v>
                </c:pt>
                <c:pt idx="15">
                  <c:v>CNS(MDU) Disposal</c:v>
                </c:pt>
                <c:pt idx="16">
                  <c:v>Sella (TPU) Disposal</c:v>
                </c:pt>
                <c:pt idx="17">
                  <c:v>Misc (UO3) Disposal</c:v>
                </c:pt>
              </c:strCache>
            </c:strRef>
          </c:cat>
          <c:val>
            <c:numRef>
              <c:f>'DNLEU Results'!$C$4:$C$21</c:f>
              <c:numCache>
                <c:formatCode>0.00</c:formatCode>
                <c:ptCount val="18"/>
                <c:pt idx="0">
                  <c:v>0.83125000000000004</c:v>
                </c:pt>
                <c:pt idx="1">
                  <c:v>0.15562499999999999</c:v>
                </c:pt>
                <c:pt idx="2">
                  <c:v>5.1874999999999998E-2</c:v>
                </c:pt>
                <c:pt idx="3">
                  <c:v>0.60625000000000007</c:v>
                </c:pt>
                <c:pt idx="4">
                  <c:v>0.10843750000000001</c:v>
                </c:pt>
                <c:pt idx="5">
                  <c:v>4.0312500000000001E-2</c:v>
                </c:pt>
                <c:pt idx="6">
                  <c:v>12.812499999999998</c:v>
                </c:pt>
                <c:pt idx="7">
                  <c:v>2.4</c:v>
                </c:pt>
                <c:pt idx="8">
                  <c:v>0.8</c:v>
                </c:pt>
                <c:pt idx="9">
                  <c:v>3.8125</c:v>
                </c:pt>
                <c:pt idx="10">
                  <c:v>0.203125</c:v>
                </c:pt>
                <c:pt idx="11">
                  <c:v>0.25312499999999999</c:v>
                </c:pt>
                <c:pt idx="12">
                  <c:v>6.03125</c:v>
                </c:pt>
                <c:pt idx="13">
                  <c:v>1.128125</c:v>
                </c:pt>
                <c:pt idx="14">
                  <c:v>0.375</c:v>
                </c:pt>
                <c:pt idx="15">
                  <c:v>1.7874999999999999</c:v>
                </c:pt>
                <c:pt idx="16">
                  <c:v>0.75624999999999998</c:v>
                </c:pt>
                <c:pt idx="17">
                  <c:v>0.12</c:v>
                </c:pt>
              </c:numCache>
            </c:numRef>
          </c:val>
        </c:ser>
        <c:ser>
          <c:idx val="2"/>
          <c:order val="2"/>
          <c:tx>
            <c:strRef>
              <c:f>'DNLEU Results'!$D$3</c:f>
              <c:strCache>
                <c:ptCount val="1"/>
                <c:pt idx="0">
                  <c:v>SDS2 Overpacked DNLEU as LLW (CS)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strRef>
              <c:f>'DNLEU Results'!$A$4:$A$21</c:f>
              <c:strCache>
                <c:ptCount val="18"/>
                <c:pt idx="0">
                  <c:v>UUK DV70s</c:v>
                </c:pt>
                <c:pt idx="1">
                  <c:v>CNS(48) DV70s</c:v>
                </c:pt>
                <c:pt idx="2">
                  <c:v>CNS(236) DV70s</c:v>
                </c:pt>
                <c:pt idx="3">
                  <c:v>CNS(MDU) 200l Drums</c:v>
                </c:pt>
                <c:pt idx="4">
                  <c:v>Sella (TPU) 50l Drums</c:v>
                </c:pt>
                <c:pt idx="5">
                  <c:v>Misc (UO3) 200l Drums</c:v>
                </c:pt>
                <c:pt idx="6">
                  <c:v>UUK 4m boxes</c:v>
                </c:pt>
                <c:pt idx="7">
                  <c:v>CNS(48) 4m boxes</c:v>
                </c:pt>
                <c:pt idx="8">
                  <c:v>CNS(236)) 4m boxes</c:v>
                </c:pt>
                <c:pt idx="9">
                  <c:v>CNS(MDU) 4m boxes</c:v>
                </c:pt>
                <c:pt idx="10">
                  <c:v>Sella (TPU) FHISOs</c:v>
                </c:pt>
                <c:pt idx="11">
                  <c:v>Misc (UO3) 4m Boxes</c:v>
                </c:pt>
                <c:pt idx="12">
                  <c:v>UUK Disposal</c:v>
                </c:pt>
                <c:pt idx="13">
                  <c:v>CNS(48) Disposal</c:v>
                </c:pt>
                <c:pt idx="14">
                  <c:v>CNS(236) Disposal</c:v>
                </c:pt>
                <c:pt idx="15">
                  <c:v>CNS(MDU) Disposal</c:v>
                </c:pt>
                <c:pt idx="16">
                  <c:v>Sella (TPU) Disposal</c:v>
                </c:pt>
                <c:pt idx="17">
                  <c:v>Misc (UO3) Disposal</c:v>
                </c:pt>
              </c:strCache>
            </c:strRef>
          </c:cat>
          <c:val>
            <c:numRef>
              <c:f>'DNLEU Results'!$D$4:$D$21</c:f>
              <c:numCache>
                <c:formatCode>0.00</c:formatCode>
                <c:ptCount val="18"/>
                <c:pt idx="0">
                  <c:v>0.83125000000000004</c:v>
                </c:pt>
                <c:pt idx="1">
                  <c:v>0.15562499999999999</c:v>
                </c:pt>
                <c:pt idx="2">
                  <c:v>5.1874999999999998E-2</c:v>
                </c:pt>
                <c:pt idx="3">
                  <c:v>0.60625000000000007</c:v>
                </c:pt>
                <c:pt idx="4">
                  <c:v>0.10843750000000001</c:v>
                </c:pt>
                <c:pt idx="5">
                  <c:v>4.0312500000000001E-2</c:v>
                </c:pt>
                <c:pt idx="6">
                  <c:v>2.3250000000000002</c:v>
                </c:pt>
                <c:pt idx="7">
                  <c:v>0.43750000000000006</c:v>
                </c:pt>
                <c:pt idx="8">
                  <c:v>0.14531250000000001</c:v>
                </c:pt>
                <c:pt idx="9">
                  <c:v>0.69062500000000004</c:v>
                </c:pt>
                <c:pt idx="10">
                  <c:v>0.203125</c:v>
                </c:pt>
                <c:pt idx="11">
                  <c:v>4.5937499999999999E-2</c:v>
                </c:pt>
                <c:pt idx="12">
                  <c:v>6</c:v>
                </c:pt>
                <c:pt idx="13">
                  <c:v>1.125</c:v>
                </c:pt>
                <c:pt idx="14">
                  <c:v>0.375</c:v>
                </c:pt>
                <c:pt idx="15">
                  <c:v>1.7812499999999998</c:v>
                </c:pt>
                <c:pt idx="16">
                  <c:v>0.75624999999999998</c:v>
                </c:pt>
                <c:pt idx="17">
                  <c:v>0.1225</c:v>
                </c:pt>
              </c:numCache>
            </c:numRef>
          </c:val>
        </c:ser>
        <c:marker val="1"/>
        <c:axId val="34629120"/>
        <c:axId val="34631040"/>
      </c:lineChart>
      <c:catAx>
        <c:axId val="346291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0" i="0"/>
                  <a:t>Product Stages and Processes</a:t>
                </a:r>
              </a:p>
            </c:rich>
          </c:tx>
          <c:layout>
            <c:manualLayout>
              <c:xMode val="edge"/>
              <c:yMode val="edge"/>
              <c:x val="0.30876008460107535"/>
              <c:y val="0.8962313280245068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31040"/>
        <c:crosses val="autoZero"/>
        <c:auto val="1"/>
        <c:lblAlgn val="ctr"/>
        <c:lblOffset val="100"/>
        <c:tickLblSkip val="1"/>
        <c:tickMarkSkip val="1"/>
      </c:catAx>
      <c:valAx>
        <c:axId val="346310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0" i="0"/>
                  <a:t>Percentage of Total Baseline Impact</a:t>
                </a:r>
              </a:p>
            </c:rich>
          </c:tx>
          <c:layout>
            <c:manualLayout>
              <c:xMode val="edge"/>
              <c:yMode val="edge"/>
              <c:x val="2.1018168845399178E-2"/>
              <c:y val="9.5092235283620707E-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2912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067961165048544"/>
          <c:y val="2.840913031717518E-2"/>
          <c:w val="0.84466019417475724"/>
          <c:h val="0.12500017339557079"/>
        </c:manualLayout>
      </c:layout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lang="en-GB"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- Comparison of Cummulative Impact for Disposal Options </a:t>
            </a:r>
          </a:p>
        </c:rich>
      </c:tx>
      <c:layout>
        <c:manualLayout>
          <c:xMode val="edge"/>
          <c:yMode val="edge"/>
          <c:x val="0.16165425819826995"/>
          <c:y val="3.81680780468479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633096912252598"/>
          <c:y val="0.29813664596273304"/>
          <c:w val="0.86353373233259512"/>
          <c:h val="0.43478260869565211"/>
        </c:manualLayout>
      </c:layout>
      <c:barChart>
        <c:barDir val="col"/>
        <c:grouping val="stacked"/>
        <c:ser>
          <c:idx val="0"/>
          <c:order val="0"/>
          <c:tx>
            <c:strRef>
              <c:f>'DNLEU Results'!$A$25</c:f>
              <c:strCache>
                <c:ptCount val="1"/>
                <c:pt idx="0">
                  <c:v>LTIS Package Impact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Results'!$B$24:$D$24</c:f>
              <c:strCache>
                <c:ptCount val="3"/>
                <c:pt idx="0">
                  <c:v>ILW Disposal (SS Overpacks)</c:v>
                </c:pt>
                <c:pt idx="1">
                  <c:v>LLW Disposal (SS Overpacks)</c:v>
                </c:pt>
                <c:pt idx="2">
                  <c:v>LLW Disposal (CS Overpacks)</c:v>
                </c:pt>
              </c:strCache>
            </c:strRef>
          </c:cat>
          <c:val>
            <c:numRef>
              <c:f>'DNLEU Results'!$B$25:$D$25</c:f>
              <c:numCache>
                <c:formatCode>0.00</c:formatCode>
                <c:ptCount val="3"/>
                <c:pt idx="0">
                  <c:v>1.7865625000000001</c:v>
                </c:pt>
                <c:pt idx="1">
                  <c:v>1.7865625000000001</c:v>
                </c:pt>
                <c:pt idx="2">
                  <c:v>1.7865625000000001</c:v>
                </c:pt>
              </c:numCache>
            </c:numRef>
          </c:val>
        </c:ser>
        <c:ser>
          <c:idx val="1"/>
          <c:order val="1"/>
          <c:tx>
            <c:strRef>
              <c:f>'DNLEU Results'!$A$26</c:f>
              <c:strCache>
                <c:ptCount val="1"/>
                <c:pt idx="0">
                  <c:v>Overpack Impact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Results'!$B$24:$D$24</c:f>
              <c:strCache>
                <c:ptCount val="3"/>
                <c:pt idx="0">
                  <c:v>ILW Disposal (SS Overpacks)</c:v>
                </c:pt>
                <c:pt idx="1">
                  <c:v>LLW Disposal (SS Overpacks)</c:v>
                </c:pt>
                <c:pt idx="2">
                  <c:v>LLW Disposal (CS Overpacks)</c:v>
                </c:pt>
              </c:strCache>
            </c:strRef>
          </c:cat>
          <c:val>
            <c:numRef>
              <c:f>'DNLEU Results'!$B$26:$D$26</c:f>
              <c:numCache>
                <c:formatCode>0.00</c:formatCode>
                <c:ptCount val="3"/>
                <c:pt idx="0">
                  <c:v>20.134374999999999</c:v>
                </c:pt>
                <c:pt idx="1">
                  <c:v>20.134374999999999</c:v>
                </c:pt>
                <c:pt idx="2">
                  <c:v>3.84375</c:v>
                </c:pt>
              </c:numCache>
            </c:numRef>
          </c:val>
        </c:ser>
        <c:ser>
          <c:idx val="2"/>
          <c:order val="2"/>
          <c:tx>
            <c:strRef>
              <c:f>'DNLEU Results'!$A$27</c:f>
              <c:strCache>
                <c:ptCount val="1"/>
                <c:pt idx="0">
                  <c:v>Disposal Impact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'DNLEU Results'!$B$24:$D$24</c:f>
              <c:strCache>
                <c:ptCount val="3"/>
                <c:pt idx="0">
                  <c:v>ILW Disposal (SS Overpacks)</c:v>
                </c:pt>
                <c:pt idx="1">
                  <c:v>LLW Disposal (SS Overpacks)</c:v>
                </c:pt>
                <c:pt idx="2">
                  <c:v>LLW Disposal (CS Overpacks)</c:v>
                </c:pt>
              </c:strCache>
            </c:strRef>
          </c:cat>
          <c:val>
            <c:numRef>
              <c:f>'DNLEU Results'!$B$27:$D$27</c:f>
              <c:numCache>
                <c:formatCode>0.00</c:formatCode>
                <c:ptCount val="3"/>
                <c:pt idx="0">
                  <c:v>104.375</c:v>
                </c:pt>
                <c:pt idx="1">
                  <c:v>10.1875</c:v>
                </c:pt>
                <c:pt idx="2">
                  <c:v>10.15625</c:v>
                </c:pt>
              </c:numCache>
            </c:numRef>
          </c:val>
        </c:ser>
        <c:overlap val="100"/>
        <c:axId val="47101056"/>
        <c:axId val="47102976"/>
      </c:barChart>
      <c:catAx>
        <c:axId val="47101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Disposal Options</a:t>
                </a:r>
              </a:p>
            </c:rich>
          </c:tx>
          <c:layout>
            <c:manualLayout>
              <c:xMode val="edge"/>
              <c:yMode val="edge"/>
              <c:x val="0.47180489598333281"/>
              <c:y val="0.8625967414450552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102976"/>
        <c:crosses val="autoZero"/>
        <c:auto val="1"/>
        <c:lblAlgn val="ctr"/>
        <c:lblOffset val="100"/>
        <c:tickLblSkip val="1"/>
        <c:tickMarkSkip val="1"/>
      </c:catAx>
      <c:valAx>
        <c:axId val="471029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Baseline Net  Impact </a:t>
                </a:r>
              </a:p>
            </c:rich>
          </c:tx>
          <c:layout>
            <c:manualLayout>
              <c:xMode val="edge"/>
              <c:yMode val="edge"/>
              <c:x val="3.0075063574251663E-2"/>
              <c:y val="0.259542217600158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10105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748600352933788"/>
          <c:y val="0.12121256958958329"/>
          <c:w val="0.42690139745788686"/>
          <c:h val="0.1287883551889322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- Comparison of Impact Category Weighted Results</a:t>
            </a:r>
          </a:p>
        </c:rich>
      </c:tx>
      <c:layout>
        <c:manualLayout>
          <c:xMode val="edge"/>
          <c:yMode val="edge"/>
          <c:x val="0.16455724399763683"/>
          <c:y val="3.503185895975221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598298735423904"/>
          <c:y val="0.269035532994924"/>
          <c:w val="0.82478675505118304"/>
          <c:h val="0.24873096446700504"/>
        </c:manualLayout>
      </c:layout>
      <c:lineChart>
        <c:grouping val="standard"/>
        <c:ser>
          <c:idx val="0"/>
          <c:order val="0"/>
          <c:tx>
            <c:strRef>
              <c:f>'DNLEU Results'!$B$30</c:f>
              <c:strCache>
                <c:ptCount val="1"/>
                <c:pt idx="0">
                  <c:v>HAW Disposal (SS Overpacks)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'DNLEU Results'!$A$31:$A$41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Results'!$B$31:$B$41</c:f>
              <c:numCache>
                <c:formatCode>0.00</c:formatCode>
                <c:ptCount val="11"/>
                <c:pt idx="0">
                  <c:v>6.625</c:v>
                </c:pt>
                <c:pt idx="1">
                  <c:v>4.1875000000000002E-2</c:v>
                </c:pt>
                <c:pt idx="2">
                  <c:v>51.5625</c:v>
                </c:pt>
                <c:pt idx="3">
                  <c:v>10.9375</c:v>
                </c:pt>
                <c:pt idx="4">
                  <c:v>0.231875</c:v>
                </c:pt>
                <c:pt idx="5">
                  <c:v>9.4062499999999997E-3</c:v>
                </c:pt>
                <c:pt idx="6">
                  <c:v>8.09375</c:v>
                </c:pt>
                <c:pt idx="7">
                  <c:v>1.5874999999999999</c:v>
                </c:pt>
                <c:pt idx="8">
                  <c:v>1.065625</c:v>
                </c:pt>
                <c:pt idx="9">
                  <c:v>11</c:v>
                </c:pt>
                <c:pt idx="10">
                  <c:v>35.3125</c:v>
                </c:pt>
              </c:numCache>
            </c:numRef>
          </c:val>
        </c:ser>
        <c:ser>
          <c:idx val="1"/>
          <c:order val="1"/>
          <c:tx>
            <c:strRef>
              <c:f>'DNLEU Results'!$C$30</c:f>
              <c:strCache>
                <c:ptCount val="1"/>
                <c:pt idx="0">
                  <c:v>LLW Disposal (SS Overpacks)</c:v>
                </c:pt>
              </c:strCache>
            </c:strRef>
          </c:tx>
          <c:spPr>
            <a:ln w="12700">
              <a:solidFill>
                <a:srgbClr val="FFB143"/>
              </a:solidFill>
              <a:prstDash val="solid"/>
            </a:ln>
          </c:spPr>
          <c:marker>
            <c:symbol val="none"/>
          </c:marker>
          <c:cat>
            <c:strRef>
              <c:f>'DNLEU Results'!$A$31:$A$41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Results'!$C$31:$C$41</c:f>
              <c:numCache>
                <c:formatCode>0.00</c:formatCode>
                <c:ptCount val="11"/>
                <c:pt idx="0">
                  <c:v>1.278125</c:v>
                </c:pt>
                <c:pt idx="1">
                  <c:v>7.0312499999999993E-3</c:v>
                </c:pt>
                <c:pt idx="2">
                  <c:v>12.4375</c:v>
                </c:pt>
                <c:pt idx="3">
                  <c:v>2.421875</c:v>
                </c:pt>
                <c:pt idx="4">
                  <c:v>3.0312499999999999E-2</c:v>
                </c:pt>
                <c:pt idx="5">
                  <c:v>6.0625000000000002E-4</c:v>
                </c:pt>
                <c:pt idx="6">
                  <c:v>4.6875</c:v>
                </c:pt>
                <c:pt idx="7">
                  <c:v>0.268125</c:v>
                </c:pt>
                <c:pt idx="8">
                  <c:v>0.35000000000000003</c:v>
                </c:pt>
                <c:pt idx="9">
                  <c:v>6.0625</c:v>
                </c:pt>
                <c:pt idx="10">
                  <c:v>4.6875</c:v>
                </c:pt>
              </c:numCache>
            </c:numRef>
          </c:val>
        </c:ser>
        <c:ser>
          <c:idx val="2"/>
          <c:order val="2"/>
          <c:tx>
            <c:strRef>
              <c:f>'DNLEU Results'!$D$30</c:f>
              <c:strCache>
                <c:ptCount val="1"/>
                <c:pt idx="0">
                  <c:v>LLW Disposal (CS Overpacks)</c:v>
                </c:pt>
              </c:strCache>
            </c:strRef>
          </c:tx>
          <c:spPr>
            <a:ln w="12700">
              <a:solidFill>
                <a:srgbClr val="CCCCFF"/>
              </a:solidFill>
              <a:prstDash val="solid"/>
            </a:ln>
          </c:spPr>
          <c:marker>
            <c:symbol val="none"/>
          </c:marker>
          <c:cat>
            <c:strRef>
              <c:f>'DNLEU Results'!$A$31:$A$41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Results'!$D$31:$D$41</c:f>
              <c:numCache>
                <c:formatCode>0.00</c:formatCode>
                <c:ptCount val="11"/>
                <c:pt idx="0">
                  <c:v>0.87500000000000011</c:v>
                </c:pt>
                <c:pt idx="1">
                  <c:v>5.6874999999999998E-3</c:v>
                </c:pt>
                <c:pt idx="2">
                  <c:v>6.9375000000000009</c:v>
                </c:pt>
                <c:pt idx="3">
                  <c:v>2.0375000000000001</c:v>
                </c:pt>
                <c:pt idx="4">
                  <c:v>2.6718749999999999E-2</c:v>
                </c:pt>
                <c:pt idx="5">
                  <c:v>4.8749999999999998E-4</c:v>
                </c:pt>
                <c:pt idx="6">
                  <c:v>0.75624999999999998</c:v>
                </c:pt>
                <c:pt idx="7">
                  <c:v>0.21062500000000001</c:v>
                </c:pt>
                <c:pt idx="8">
                  <c:v>0.29468749999999999</c:v>
                </c:pt>
                <c:pt idx="9">
                  <c:v>1.14375</c:v>
                </c:pt>
                <c:pt idx="10">
                  <c:v>3.5624999999999996</c:v>
                </c:pt>
              </c:numCache>
            </c:numRef>
          </c:val>
        </c:ser>
        <c:marker val="1"/>
        <c:axId val="47133440"/>
        <c:axId val="47135360"/>
      </c:lineChart>
      <c:catAx>
        <c:axId val="471334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 </a:t>
                </a:r>
              </a:p>
            </c:rich>
          </c:tx>
          <c:layout>
            <c:manualLayout>
              <c:xMode val="edge"/>
              <c:yMode val="edge"/>
              <c:x val="0.47739624797822777"/>
              <c:y val="0.8853502797680836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135360"/>
        <c:crosses val="autoZero"/>
        <c:auto val="1"/>
        <c:lblAlgn val="ctr"/>
        <c:lblOffset val="100"/>
        <c:tickLblSkip val="1"/>
        <c:tickMarkSkip val="1"/>
      </c:catAx>
      <c:valAx>
        <c:axId val="471353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Baseline Net Impact </a:t>
                </a:r>
              </a:p>
            </c:rich>
          </c:tx>
          <c:layout>
            <c:manualLayout>
              <c:xMode val="edge"/>
              <c:yMode val="edge"/>
              <c:x val="2.8932988542483849E-2"/>
              <c:y val="0.16878986589698797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13344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837638376383765"/>
          <c:y val="0.11859011477775308"/>
          <c:w val="0.7232472324723247"/>
          <c:h val="0.1025644235915702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- Comparison of Impact Category  Normalised Results</a:t>
            </a:r>
          </a:p>
        </c:rich>
      </c:tx>
      <c:layout>
        <c:manualLayout>
          <c:xMode val="edge"/>
          <c:yMode val="edge"/>
          <c:x val="0.12977107028288132"/>
          <c:y val="3.45915146682614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318181818181799"/>
          <c:y val="0.32499940490831603"/>
          <c:w val="0.83636363636363609"/>
          <c:h val="0.19999963378973304"/>
        </c:manualLayout>
      </c:layout>
      <c:lineChart>
        <c:grouping val="standard"/>
        <c:ser>
          <c:idx val="0"/>
          <c:order val="0"/>
          <c:tx>
            <c:strRef>
              <c:f>'DNLEU Results'!$B$45</c:f>
              <c:strCache>
                <c:ptCount val="1"/>
                <c:pt idx="0">
                  <c:v>ILW Disposal (SS Overpacks)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'DNLEU Results'!$A$46:$A$56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Results'!$B$46:$B$56</c:f>
              <c:numCache>
                <c:formatCode>0.00E+00</c:formatCode>
                <c:ptCount val="11"/>
                <c:pt idx="0">
                  <c:v>53000</c:v>
                </c:pt>
                <c:pt idx="1">
                  <c:v>334</c:v>
                </c:pt>
                <c:pt idx="2">
                  <c:v>412000</c:v>
                </c:pt>
                <c:pt idx="3">
                  <c:v>87400</c:v>
                </c:pt>
                <c:pt idx="4">
                  <c:v>1860</c:v>
                </c:pt>
                <c:pt idx="5">
                  <c:v>75.2</c:v>
                </c:pt>
                <c:pt idx="6">
                  <c:v>64800</c:v>
                </c:pt>
                <c:pt idx="7">
                  <c:v>12700</c:v>
                </c:pt>
                <c:pt idx="8">
                  <c:v>8520</c:v>
                </c:pt>
                <c:pt idx="9">
                  <c:v>176000</c:v>
                </c:pt>
                <c:pt idx="10">
                  <c:v>567000</c:v>
                </c:pt>
              </c:numCache>
            </c:numRef>
          </c:val>
        </c:ser>
        <c:ser>
          <c:idx val="1"/>
          <c:order val="1"/>
          <c:tx>
            <c:strRef>
              <c:f>'DNLEU Results'!$C$45</c:f>
              <c:strCache>
                <c:ptCount val="1"/>
                <c:pt idx="0">
                  <c:v>LLW Disposal (SS Overpacks)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'DNLEU Results'!$A$46:$A$56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Results'!$C$46:$C$56</c:f>
              <c:numCache>
                <c:formatCode>0.00E+00</c:formatCode>
                <c:ptCount val="11"/>
                <c:pt idx="0">
                  <c:v>10200</c:v>
                </c:pt>
                <c:pt idx="1">
                  <c:v>56.3</c:v>
                </c:pt>
                <c:pt idx="2">
                  <c:v>99600</c:v>
                </c:pt>
                <c:pt idx="3">
                  <c:v>19400</c:v>
                </c:pt>
                <c:pt idx="4">
                  <c:v>243</c:v>
                </c:pt>
                <c:pt idx="5">
                  <c:v>4.8600000000000003</c:v>
                </c:pt>
                <c:pt idx="6">
                  <c:v>37500</c:v>
                </c:pt>
                <c:pt idx="7">
                  <c:v>2140</c:v>
                </c:pt>
                <c:pt idx="8">
                  <c:v>2790</c:v>
                </c:pt>
                <c:pt idx="9">
                  <c:v>97100</c:v>
                </c:pt>
                <c:pt idx="10">
                  <c:v>75200</c:v>
                </c:pt>
              </c:numCache>
            </c:numRef>
          </c:val>
        </c:ser>
        <c:ser>
          <c:idx val="2"/>
          <c:order val="2"/>
          <c:tx>
            <c:strRef>
              <c:f>'DNLEU Results'!$D$45</c:f>
              <c:strCache>
                <c:ptCount val="1"/>
                <c:pt idx="0">
                  <c:v>LLW Disposal (CS Overpacks)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'DNLEU Results'!$A$46:$A$56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Results'!$D$46:$D$56</c:f>
              <c:numCache>
                <c:formatCode>0.00E+00</c:formatCode>
                <c:ptCount val="11"/>
                <c:pt idx="0">
                  <c:v>6990</c:v>
                </c:pt>
                <c:pt idx="1">
                  <c:v>45.6</c:v>
                </c:pt>
                <c:pt idx="2">
                  <c:v>55500</c:v>
                </c:pt>
                <c:pt idx="3">
                  <c:v>16300</c:v>
                </c:pt>
                <c:pt idx="4">
                  <c:v>214</c:v>
                </c:pt>
                <c:pt idx="5">
                  <c:v>3.91</c:v>
                </c:pt>
                <c:pt idx="6">
                  <c:v>6050</c:v>
                </c:pt>
                <c:pt idx="7">
                  <c:v>1690</c:v>
                </c:pt>
                <c:pt idx="8">
                  <c:v>2360</c:v>
                </c:pt>
                <c:pt idx="9">
                  <c:v>18300</c:v>
                </c:pt>
                <c:pt idx="10">
                  <c:v>56900</c:v>
                </c:pt>
              </c:numCache>
            </c:numRef>
          </c:val>
        </c:ser>
        <c:marker val="1"/>
        <c:axId val="34668928"/>
        <c:axId val="34670848"/>
      </c:lineChart>
      <c:catAx>
        <c:axId val="34668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8473295004791067"/>
              <c:y val="0.886794910129904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70848"/>
        <c:crosses val="autoZero"/>
        <c:auto val="1"/>
        <c:lblAlgn val="ctr"/>
        <c:lblOffset val="100"/>
        <c:tickLblSkip val="1"/>
        <c:tickMarkSkip val="1"/>
      </c:catAx>
      <c:valAx>
        <c:axId val="346708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Values</a:t>
                </a:r>
              </a:p>
            </c:rich>
          </c:tx>
          <c:layout>
            <c:manualLayout>
              <c:xMode val="edge"/>
              <c:yMode val="edge"/>
              <c:x val="3.0534308211473567E-2"/>
              <c:y val="0.31446659357453738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6892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158788595122993"/>
          <c:y val="0.10793684256213593"/>
          <c:w val="0.50992162295701371"/>
          <c:h val="0.1777783289258709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- Comparison of Baseline Disposal and NSD as ILW Disposal</a:t>
            </a:r>
          </a:p>
        </c:rich>
      </c:tx>
      <c:layout>
        <c:manualLayout>
          <c:xMode val="edge"/>
          <c:yMode val="edge"/>
          <c:x val="0.11281089863767028"/>
          <c:y val="3.14134951881014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5671928570832718E-2"/>
          <c:y val="0.24015713406232606"/>
          <c:w val="0.88382638774959699"/>
          <c:h val="0.55905431207951317"/>
        </c:manualLayout>
      </c:layout>
      <c:barChart>
        <c:barDir val="col"/>
        <c:grouping val="clustered"/>
        <c:ser>
          <c:idx val="0"/>
          <c:order val="0"/>
          <c:tx>
            <c:strRef>
              <c:f>'DNLEU Results'!$B$77</c:f>
              <c:strCache>
                <c:ptCount val="1"/>
                <c:pt idx="0">
                  <c:v>Baseline Disposal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Results'!$A$78:$A$80</c:f>
              <c:strCache>
                <c:ptCount val="3"/>
                <c:pt idx="0">
                  <c:v>Interim Storage Package Impact</c:v>
                </c:pt>
                <c:pt idx="1">
                  <c:v>Disposal Package Impact</c:v>
                </c:pt>
                <c:pt idx="2">
                  <c:v>Disposal Impact</c:v>
                </c:pt>
              </c:strCache>
            </c:strRef>
          </c:cat>
          <c:val>
            <c:numRef>
              <c:f>'DNLEU Results'!$B$78:$B$80</c:f>
              <c:numCache>
                <c:formatCode>0.00</c:formatCode>
                <c:ptCount val="3"/>
                <c:pt idx="0">
                  <c:v>1.35</c:v>
                </c:pt>
                <c:pt idx="1">
                  <c:v>30.5</c:v>
                </c:pt>
                <c:pt idx="2">
                  <c:v>68.233124999999987</c:v>
                </c:pt>
              </c:numCache>
            </c:numRef>
          </c:val>
        </c:ser>
        <c:ser>
          <c:idx val="1"/>
          <c:order val="1"/>
          <c:tx>
            <c:strRef>
              <c:f>'DNLEU Results'!$C$77</c:f>
              <c:strCache>
                <c:ptCount val="1"/>
                <c:pt idx="0">
                  <c:v>Overpacked LTIS as ILW Disposal</c:v>
                </c:pt>
              </c:strCache>
            </c:strRef>
          </c:tx>
          <c:spPr>
            <a:pattFill prst="wdUpDiag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Results'!$A$78:$A$80</c:f>
              <c:strCache>
                <c:ptCount val="3"/>
                <c:pt idx="0">
                  <c:v>Interim Storage Package Impact</c:v>
                </c:pt>
                <c:pt idx="1">
                  <c:v>Disposal Package Impact</c:v>
                </c:pt>
                <c:pt idx="2">
                  <c:v>Disposal Impact</c:v>
                </c:pt>
              </c:strCache>
            </c:strRef>
          </c:cat>
          <c:val>
            <c:numRef>
              <c:f>'DNLEU Results'!$C$78:$C$80</c:f>
              <c:numCache>
                <c:formatCode>0.00</c:formatCode>
                <c:ptCount val="3"/>
                <c:pt idx="0">
                  <c:v>1.7865625000000001</c:v>
                </c:pt>
                <c:pt idx="1">
                  <c:v>20.134374999999999</c:v>
                </c:pt>
                <c:pt idx="2">
                  <c:v>104.375</c:v>
                </c:pt>
              </c:numCache>
            </c:numRef>
          </c:val>
        </c:ser>
        <c:axId val="34704384"/>
        <c:axId val="34718848"/>
      </c:barChart>
      <c:catAx>
        <c:axId val="347043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Cummulative Product Stage</a:t>
                </a:r>
              </a:p>
            </c:rich>
          </c:tx>
          <c:layout>
            <c:manualLayout>
              <c:xMode val="edge"/>
              <c:yMode val="edge"/>
              <c:x val="0.39961796442111402"/>
              <c:y val="0.90314222440944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718848"/>
        <c:crosses val="autoZero"/>
        <c:auto val="1"/>
        <c:lblAlgn val="ctr"/>
        <c:lblOffset val="100"/>
        <c:tickLblSkip val="1"/>
        <c:tickMarkSkip val="1"/>
      </c:catAx>
      <c:valAx>
        <c:axId val="347188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Baseline Net Imapct</a:t>
                </a:r>
              </a:p>
            </c:rich>
          </c:tx>
          <c:layout>
            <c:manualLayout>
              <c:xMode val="edge"/>
              <c:yMode val="edge"/>
              <c:x val="3.0592634254051575E-2"/>
              <c:y val="0.2722514763779527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70438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96037551226034"/>
          <c:y val="0.12987029457981761"/>
          <c:w val="0.46627074472723046"/>
          <c:h val="8.311698853108326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Comparison of Normalised Disposal Results</a:t>
            </a:r>
          </a:p>
        </c:rich>
      </c:tx>
      <c:layout>
        <c:manualLayout>
          <c:xMode val="edge"/>
          <c:yMode val="edge"/>
          <c:x val="0.18781756054078147"/>
          <c:y val="3.37078060228543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031610398163602"/>
          <c:y val="0.24444470968393003"/>
          <c:w val="0.84189662388981812"/>
          <c:h val="0.24444470968393003"/>
        </c:manualLayout>
      </c:layout>
      <c:lineChart>
        <c:grouping val="standard"/>
        <c:ser>
          <c:idx val="0"/>
          <c:order val="0"/>
          <c:tx>
            <c:strRef>
              <c:f>'DNLEU Results'!$B$108</c:f>
              <c:strCache>
                <c:ptCount val="1"/>
                <c:pt idx="0">
                  <c:v>Baseline Disposal</c:v>
                </c:pt>
              </c:strCache>
            </c:strRef>
          </c:tx>
          <c:spPr>
            <a:ln w="12700">
              <a:solidFill>
                <a:srgbClr val="7CC861"/>
              </a:solidFill>
              <a:prstDash val="solid"/>
            </a:ln>
          </c:spPr>
          <c:marker>
            <c:symbol val="none"/>
          </c:marker>
          <c:cat>
            <c:strRef>
              <c:f>'DNLEU Results'!$A$109:$A$119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Results'!$B$109:$B$119</c:f>
              <c:numCache>
                <c:formatCode>General</c:formatCode>
                <c:ptCount val="11"/>
                <c:pt idx="0" formatCode="0.00E+00">
                  <c:v>38300</c:v>
                </c:pt>
                <c:pt idx="1">
                  <c:v>235</c:v>
                </c:pt>
                <c:pt idx="2" formatCode="0.00E+00">
                  <c:v>321000</c:v>
                </c:pt>
                <c:pt idx="3" formatCode="0.00E+00">
                  <c:v>61100</c:v>
                </c:pt>
                <c:pt idx="4" formatCode="0.00E+00">
                  <c:v>1260</c:v>
                </c:pt>
                <c:pt idx="5">
                  <c:v>50.8</c:v>
                </c:pt>
                <c:pt idx="6" formatCode="0.00E+00">
                  <c:v>69900</c:v>
                </c:pt>
                <c:pt idx="7" formatCode="0.00E+00">
                  <c:v>8940</c:v>
                </c:pt>
                <c:pt idx="8" formatCode="0.00E+00">
                  <c:v>7610</c:v>
                </c:pt>
                <c:pt idx="9" formatCode="0.00E+00">
                  <c:v>185000</c:v>
                </c:pt>
                <c:pt idx="10" formatCode="0.00E+00">
                  <c:v>398000</c:v>
                </c:pt>
              </c:numCache>
            </c:numRef>
          </c:val>
        </c:ser>
        <c:ser>
          <c:idx val="1"/>
          <c:order val="1"/>
          <c:tx>
            <c:strRef>
              <c:f>'DNLEU Results'!$C$108</c:f>
              <c:strCache>
                <c:ptCount val="1"/>
                <c:pt idx="0">
                  <c:v>HHISO/Liner Disposal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'DNLEU Results'!$A$109:$A$119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Results'!$C$109:$C$119</c:f>
              <c:numCache>
                <c:formatCode>0.00E+00</c:formatCode>
                <c:ptCount val="11"/>
                <c:pt idx="0">
                  <c:v>26700</c:v>
                </c:pt>
                <c:pt idx="1">
                  <c:v>173</c:v>
                </c:pt>
                <c:pt idx="2">
                  <c:v>196500</c:v>
                </c:pt>
                <c:pt idx="3">
                  <c:v>45400</c:v>
                </c:pt>
                <c:pt idx="4">
                  <c:v>954</c:v>
                </c:pt>
                <c:pt idx="5">
                  <c:v>38.799999999999997</c:v>
                </c:pt>
                <c:pt idx="6">
                  <c:v>25700</c:v>
                </c:pt>
                <c:pt idx="7">
                  <c:v>6610</c:v>
                </c:pt>
                <c:pt idx="8">
                  <c:v>4330</c:v>
                </c:pt>
                <c:pt idx="9">
                  <c:v>49900</c:v>
                </c:pt>
                <c:pt idx="10">
                  <c:v>291000</c:v>
                </c:pt>
              </c:numCache>
            </c:numRef>
          </c:val>
        </c:ser>
        <c:ser>
          <c:idx val="2"/>
          <c:order val="2"/>
          <c:tx>
            <c:strRef>
              <c:f>'DNLEU Results'!$D$108</c:f>
              <c:strCache>
                <c:ptCount val="1"/>
                <c:pt idx="0">
                  <c:v>LTIS Overpacked as ILW Disposal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'DNLEU Results'!$A$109:$A$119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Results'!$D$109:$D$119</c:f>
              <c:numCache>
                <c:formatCode>0.00E+00</c:formatCode>
                <c:ptCount val="11"/>
                <c:pt idx="0">
                  <c:v>52500</c:v>
                </c:pt>
                <c:pt idx="1">
                  <c:v>333</c:v>
                </c:pt>
                <c:pt idx="2">
                  <c:v>412000</c:v>
                </c:pt>
                <c:pt idx="3">
                  <c:v>87900</c:v>
                </c:pt>
                <c:pt idx="4">
                  <c:v>1850</c:v>
                </c:pt>
                <c:pt idx="5">
                  <c:v>75.099999999999994</c:v>
                </c:pt>
                <c:pt idx="6">
                  <c:v>64500</c:v>
                </c:pt>
                <c:pt idx="7">
                  <c:v>12700</c:v>
                </c:pt>
                <c:pt idx="8">
                  <c:v>8520</c:v>
                </c:pt>
                <c:pt idx="9">
                  <c:v>176000</c:v>
                </c:pt>
                <c:pt idx="10">
                  <c:v>564000</c:v>
                </c:pt>
              </c:numCache>
            </c:numRef>
          </c:val>
        </c:ser>
        <c:marker val="1"/>
        <c:axId val="34781824"/>
        <c:axId val="34788096"/>
      </c:lineChart>
      <c:catAx>
        <c:axId val="347818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8731072423837241"/>
              <c:y val="0.8932584680396844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788096"/>
        <c:crosses val="autoZero"/>
        <c:auto val="1"/>
        <c:lblAlgn val="ctr"/>
        <c:lblOffset val="100"/>
        <c:tickLblSkip val="1"/>
        <c:tickMarkSkip val="1"/>
      </c:catAx>
      <c:valAx>
        <c:axId val="34788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7072747981973951E-2"/>
              <c:y val="0.28370787913349271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78182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7549126042214"/>
          <c:y val="0.11420612813370473"/>
          <c:w val="0.68041351282873042"/>
          <c:h val="9.192200557103064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Comparison of Weighted Disposal Results</a:t>
            </a:r>
          </a:p>
        </c:rich>
      </c:tx>
      <c:layout>
        <c:manualLayout>
          <c:xMode val="edge"/>
          <c:yMode val="edge"/>
          <c:x val="0.16409259463809509"/>
          <c:y val="3.58208955223880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475986347108501"/>
          <c:y val="0.30952362960168506"/>
          <c:w val="0.81464599160703011"/>
          <c:h val="0.22380939371198702"/>
        </c:manualLayout>
      </c:layout>
      <c:lineChart>
        <c:grouping val="standard"/>
        <c:ser>
          <c:idx val="0"/>
          <c:order val="0"/>
          <c:tx>
            <c:strRef>
              <c:f>'DNLEU Results'!$B$127</c:f>
              <c:strCache>
                <c:ptCount val="1"/>
                <c:pt idx="0">
                  <c:v>Baseline Disposal</c:v>
                </c:pt>
              </c:strCache>
            </c:strRef>
          </c:tx>
          <c:spPr>
            <a:ln w="12700">
              <a:solidFill>
                <a:srgbClr val="7CC861"/>
              </a:solidFill>
              <a:prstDash val="solid"/>
            </a:ln>
          </c:spPr>
          <c:marker>
            <c:symbol val="none"/>
          </c:marker>
          <c:cat>
            <c:strRef>
              <c:f>'DNLEU Results'!$A$128:$A$138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Results'!$B$128:$B$138</c:f>
              <c:numCache>
                <c:formatCode>0.00</c:formatCode>
                <c:ptCount val="11"/>
                <c:pt idx="0">
                  <c:v>4.71875</c:v>
                </c:pt>
                <c:pt idx="1">
                  <c:v>2.9281249999999998E-2</c:v>
                </c:pt>
                <c:pt idx="2">
                  <c:v>40.3125</c:v>
                </c:pt>
                <c:pt idx="3">
                  <c:v>7.7187500000000009</c:v>
                </c:pt>
                <c:pt idx="4">
                  <c:v>0.15718749999999998</c:v>
                </c:pt>
                <c:pt idx="5">
                  <c:v>6.3125000000000004E-3</c:v>
                </c:pt>
                <c:pt idx="6">
                  <c:v>8.6875</c:v>
                </c:pt>
                <c:pt idx="7">
                  <c:v>1.1187499999999999</c:v>
                </c:pt>
                <c:pt idx="8">
                  <c:v>0.78749999999999998</c:v>
                </c:pt>
                <c:pt idx="9">
                  <c:v>11.5625</c:v>
                </c:pt>
                <c:pt idx="10">
                  <c:v>24.71875</c:v>
                </c:pt>
              </c:numCache>
            </c:numRef>
          </c:val>
        </c:ser>
        <c:ser>
          <c:idx val="1"/>
          <c:order val="1"/>
          <c:tx>
            <c:strRef>
              <c:f>'DNLEU Results'!$C$127</c:f>
              <c:strCache>
                <c:ptCount val="1"/>
                <c:pt idx="0">
                  <c:v>HHISO/Liner Disposal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'DNLEU Results'!$A$128:$A$138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Results'!$C$128:$C$138</c:f>
              <c:numCache>
                <c:formatCode>0.00</c:formatCode>
                <c:ptCount val="11"/>
                <c:pt idx="0">
                  <c:v>3.34375</c:v>
                </c:pt>
                <c:pt idx="1">
                  <c:v>2.1687499999999998E-2</c:v>
                </c:pt>
                <c:pt idx="2">
                  <c:v>24.46875</c:v>
                </c:pt>
                <c:pt idx="3">
                  <c:v>5.6875</c:v>
                </c:pt>
                <c:pt idx="4">
                  <c:v>0.119375</c:v>
                </c:pt>
                <c:pt idx="5">
                  <c:v>4.84375E-3</c:v>
                </c:pt>
                <c:pt idx="6">
                  <c:v>3.21875</c:v>
                </c:pt>
                <c:pt idx="7">
                  <c:v>0.82500000000000007</c:v>
                </c:pt>
                <c:pt idx="8">
                  <c:v>0.54062499999999991</c:v>
                </c:pt>
                <c:pt idx="9">
                  <c:v>3.1218750000000002</c:v>
                </c:pt>
                <c:pt idx="10">
                  <c:v>18.15625</c:v>
                </c:pt>
              </c:numCache>
            </c:numRef>
          </c:val>
        </c:ser>
        <c:ser>
          <c:idx val="2"/>
          <c:order val="2"/>
          <c:tx>
            <c:strRef>
              <c:f>'DNLEU Results'!$D$127</c:f>
              <c:strCache>
                <c:ptCount val="1"/>
                <c:pt idx="0">
                  <c:v>LTIS Overpacked as ILW Disposal 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'DNLEU Results'!$A$128:$A$138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Results'!$D$128:$D$138</c:f>
              <c:numCache>
                <c:formatCode>0.00</c:formatCode>
                <c:ptCount val="11"/>
                <c:pt idx="0">
                  <c:v>6.5625</c:v>
                </c:pt>
                <c:pt idx="1">
                  <c:v>4.1562499999999995E-2</c:v>
                </c:pt>
                <c:pt idx="2">
                  <c:v>51.5625</c:v>
                </c:pt>
                <c:pt idx="3">
                  <c:v>10.96875</c:v>
                </c:pt>
                <c:pt idx="4">
                  <c:v>0.2315625</c:v>
                </c:pt>
                <c:pt idx="5">
                  <c:v>9.3749999999999997E-3</c:v>
                </c:pt>
                <c:pt idx="6">
                  <c:v>8.0625</c:v>
                </c:pt>
                <c:pt idx="7">
                  <c:v>1.5874999999999999</c:v>
                </c:pt>
                <c:pt idx="8">
                  <c:v>1.065625</c:v>
                </c:pt>
                <c:pt idx="9">
                  <c:v>11</c:v>
                </c:pt>
                <c:pt idx="10">
                  <c:v>35.3125</c:v>
                </c:pt>
              </c:numCache>
            </c:numRef>
          </c:val>
        </c:ser>
        <c:marker val="1"/>
        <c:axId val="34839168"/>
        <c:axId val="34853632"/>
      </c:lineChart>
      <c:catAx>
        <c:axId val="348391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7104245235878583"/>
              <c:y val="0.8895522388059701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853632"/>
        <c:crosses val="autoZero"/>
        <c:auto val="1"/>
        <c:lblAlgn val="ctr"/>
        <c:lblOffset val="100"/>
        <c:tickLblSkip val="1"/>
        <c:tickMarkSkip val="1"/>
      </c:catAx>
      <c:valAx>
        <c:axId val="348536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Baseline Net Impact </a:t>
                </a:r>
              </a:p>
            </c:rich>
          </c:tx>
          <c:layout>
            <c:manualLayout>
              <c:xMode val="edge"/>
              <c:yMode val="edge"/>
              <c:x val="3.0888022764689483E-2"/>
              <c:y val="0.2358208955223880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83916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83568879525535"/>
          <c:y val="9.8214571168652259E-2"/>
          <c:w val="0.64128319263839462"/>
          <c:h val="0.1845243458320133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- Comparison of Disposal Impacts</a:t>
            </a:r>
          </a:p>
        </c:rich>
      </c:tx>
      <c:layout>
        <c:manualLayout>
          <c:xMode val="edge"/>
          <c:yMode val="edge"/>
          <c:x val="0.22307711536057992"/>
          <c:y val="3.002308006162802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6330302199701984E-2"/>
          <c:y val="0.210526605628367"/>
          <c:w val="0.88302777016393497"/>
          <c:h val="0.58646697282187887"/>
        </c:manualLayout>
      </c:layout>
      <c:barChart>
        <c:barDir val="col"/>
        <c:grouping val="clustered"/>
        <c:ser>
          <c:idx val="0"/>
          <c:order val="0"/>
          <c:tx>
            <c:strRef>
              <c:f>'DNLEU Results'!$B$102</c:f>
              <c:strCache>
                <c:ptCount val="1"/>
                <c:pt idx="0">
                  <c:v>Baseline Disposal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Results'!$A$103:$A$105</c:f>
              <c:strCache>
                <c:ptCount val="3"/>
                <c:pt idx="0">
                  <c:v>Interim Storage Package Impact</c:v>
                </c:pt>
                <c:pt idx="1">
                  <c:v>Disposal Package Impact</c:v>
                </c:pt>
                <c:pt idx="2">
                  <c:v>Disposal Impact</c:v>
                </c:pt>
              </c:strCache>
            </c:strRef>
          </c:cat>
          <c:val>
            <c:numRef>
              <c:f>'DNLEU Results'!$B$103:$B$105</c:f>
              <c:numCache>
                <c:formatCode>0.00</c:formatCode>
                <c:ptCount val="3"/>
                <c:pt idx="0">
                  <c:v>1.35</c:v>
                </c:pt>
                <c:pt idx="1">
                  <c:v>30.5</c:v>
                </c:pt>
                <c:pt idx="2">
                  <c:v>68.233124999999987</c:v>
                </c:pt>
              </c:numCache>
            </c:numRef>
          </c:val>
        </c:ser>
        <c:ser>
          <c:idx val="1"/>
          <c:order val="1"/>
          <c:tx>
            <c:strRef>
              <c:f>'DNLEU Results'!$C$102</c:f>
              <c:strCache>
                <c:ptCount val="1"/>
                <c:pt idx="0">
                  <c:v>HHISO/Liner Disposal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Results'!$A$103:$A$105</c:f>
              <c:strCache>
                <c:ptCount val="3"/>
                <c:pt idx="0">
                  <c:v>Interim Storage Package Impact</c:v>
                </c:pt>
                <c:pt idx="1">
                  <c:v>Disposal Package Impact</c:v>
                </c:pt>
                <c:pt idx="2">
                  <c:v>Disposal Impact</c:v>
                </c:pt>
              </c:strCache>
            </c:strRef>
          </c:cat>
          <c:val>
            <c:numRef>
              <c:f>'DNLEU Results'!$C$103:$C$105</c:f>
              <c:numCache>
                <c:formatCode>0.00</c:formatCode>
                <c:ptCount val="3"/>
                <c:pt idx="0">
                  <c:v>1.35</c:v>
                </c:pt>
                <c:pt idx="1">
                  <c:v>3.84375</c:v>
                </c:pt>
                <c:pt idx="2">
                  <c:v>54.508125</c:v>
                </c:pt>
              </c:numCache>
            </c:numRef>
          </c:val>
        </c:ser>
        <c:ser>
          <c:idx val="2"/>
          <c:order val="2"/>
          <c:tx>
            <c:strRef>
              <c:f>'DNLEU Results'!$D$102</c:f>
              <c:strCache>
                <c:ptCount val="1"/>
                <c:pt idx="0">
                  <c:v>Overpacked LTIS as ILW Disposal</c:v>
                </c:pt>
              </c:strCache>
            </c:strRef>
          </c:tx>
          <c:spPr>
            <a:pattFill prst="wdUpDiag">
              <a:fgClr>
                <a:srgbClr val="EF383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Results'!$A$103:$A$105</c:f>
              <c:strCache>
                <c:ptCount val="3"/>
                <c:pt idx="0">
                  <c:v>Interim Storage Package Impact</c:v>
                </c:pt>
                <c:pt idx="1">
                  <c:v>Disposal Package Impact</c:v>
                </c:pt>
                <c:pt idx="2">
                  <c:v>Disposal Impact</c:v>
                </c:pt>
              </c:strCache>
            </c:strRef>
          </c:cat>
          <c:val>
            <c:numRef>
              <c:f>'DNLEU Results'!$D$103:$D$105</c:f>
              <c:numCache>
                <c:formatCode>0.00</c:formatCode>
                <c:ptCount val="3"/>
                <c:pt idx="0">
                  <c:v>1.7865625000000001</c:v>
                </c:pt>
                <c:pt idx="1">
                  <c:v>20.134374999999999</c:v>
                </c:pt>
                <c:pt idx="2">
                  <c:v>104.375</c:v>
                </c:pt>
              </c:numCache>
            </c:numRef>
          </c:val>
        </c:ser>
        <c:axId val="34892032"/>
        <c:axId val="34906496"/>
      </c:barChart>
      <c:catAx>
        <c:axId val="34892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Cummulative Products Stages</a:t>
                </a:r>
              </a:p>
            </c:rich>
          </c:tx>
          <c:layout>
            <c:manualLayout>
              <c:xMode val="edge"/>
              <c:yMode val="edge"/>
              <c:x val="0.38461567304086985"/>
              <c:y val="0.91455042597633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906496"/>
        <c:crosses val="autoZero"/>
        <c:auto val="1"/>
        <c:lblAlgn val="ctr"/>
        <c:lblOffset val="100"/>
        <c:tickLblSkip val="1"/>
        <c:tickMarkSkip val="1"/>
      </c:catAx>
      <c:valAx>
        <c:axId val="349064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Baseline Net Impact</a:t>
                </a:r>
              </a:p>
            </c:rich>
          </c:tx>
          <c:layout>
            <c:manualLayout>
              <c:xMode val="edge"/>
              <c:yMode val="edge"/>
              <c:x val="3.0769278840144982E-2"/>
              <c:y val="0.28175554621797566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89203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690502717522937"/>
          <c:y val="9.7674529517770614E-2"/>
          <c:w val="0.66865208924713471"/>
          <c:h val="8.372102530094624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812636101663003"/>
          <c:y val="0.15546226461061902"/>
          <c:w val="0.85947110946582606"/>
          <c:h val="0.6680675695429279"/>
        </c:manualLayout>
      </c:layout>
      <c:barChart>
        <c:barDir val="col"/>
        <c:grouping val="clustered"/>
        <c:ser>
          <c:idx val="1"/>
          <c:order val="1"/>
          <c:tx>
            <c:strRef>
              <c:f>'General metal graphs'!$D$269</c:f>
              <c:strCache>
                <c:ptCount val="1"/>
                <c:pt idx="0">
                  <c:v>LLW (Including VLLW) (2013 UKRWI)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graphs'!$B$270:$B$280</c:f>
              <c:numCache>
                <c:formatCode>General</c:formatCode>
                <c:ptCount val="11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  <c:pt idx="6">
                  <c:v>2080</c:v>
                </c:pt>
                <c:pt idx="7">
                  <c:v>2090</c:v>
                </c:pt>
                <c:pt idx="8">
                  <c:v>2100</c:v>
                </c:pt>
                <c:pt idx="9">
                  <c:v>2110</c:v>
                </c:pt>
                <c:pt idx="10">
                  <c:v>2120</c:v>
                </c:pt>
              </c:numCache>
            </c:numRef>
          </c:cat>
          <c:val>
            <c:numRef>
              <c:f>'General metal graphs'!$D$270:$D$280</c:f>
              <c:numCache>
                <c:formatCode>General</c:formatCode>
                <c:ptCount val="11"/>
                <c:pt idx="0">
                  <c:v>221020</c:v>
                </c:pt>
                <c:pt idx="1">
                  <c:v>251500</c:v>
                </c:pt>
                <c:pt idx="2">
                  <c:v>208500</c:v>
                </c:pt>
                <c:pt idx="3">
                  <c:v>393000</c:v>
                </c:pt>
                <c:pt idx="4">
                  <c:v>393000</c:v>
                </c:pt>
                <c:pt idx="5">
                  <c:v>369500</c:v>
                </c:pt>
                <c:pt idx="6">
                  <c:v>369500</c:v>
                </c:pt>
                <c:pt idx="7">
                  <c:v>369500</c:v>
                </c:pt>
                <c:pt idx="8">
                  <c:v>369500</c:v>
                </c:pt>
                <c:pt idx="9">
                  <c:v>598500</c:v>
                </c:pt>
                <c:pt idx="10">
                  <c:v>598500</c:v>
                </c:pt>
              </c:numCache>
            </c:numRef>
          </c:val>
        </c:ser>
        <c:axId val="53600640"/>
        <c:axId val="53602944"/>
      </c:barChart>
      <c:lineChart>
        <c:grouping val="standard"/>
        <c:ser>
          <c:idx val="0"/>
          <c:order val="0"/>
          <c:tx>
            <c:strRef>
              <c:f>'General metal graphs'!$C$269</c:f>
              <c:strCache>
                <c:ptCount val="1"/>
                <c:pt idx="0">
                  <c:v>ILW (2013 UKRWI)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'General metal graphs'!$B$270:$B$280</c:f>
              <c:numCache>
                <c:formatCode>General</c:formatCode>
                <c:ptCount val="11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  <c:pt idx="6">
                  <c:v>2080</c:v>
                </c:pt>
                <c:pt idx="7">
                  <c:v>2090</c:v>
                </c:pt>
                <c:pt idx="8">
                  <c:v>2100</c:v>
                </c:pt>
                <c:pt idx="9">
                  <c:v>2110</c:v>
                </c:pt>
                <c:pt idx="10">
                  <c:v>2120</c:v>
                </c:pt>
              </c:numCache>
            </c:numRef>
          </c:cat>
          <c:val>
            <c:numRef>
              <c:f>'General metal graphs'!$C$270:$C$280</c:f>
              <c:numCache>
                <c:formatCode>General</c:formatCode>
                <c:ptCount val="11"/>
                <c:pt idx="0">
                  <c:v>14250</c:v>
                </c:pt>
                <c:pt idx="1">
                  <c:v>13600</c:v>
                </c:pt>
                <c:pt idx="2">
                  <c:v>14700</c:v>
                </c:pt>
                <c:pt idx="3">
                  <c:v>17550</c:v>
                </c:pt>
                <c:pt idx="4">
                  <c:v>17550</c:v>
                </c:pt>
                <c:pt idx="5">
                  <c:v>20500</c:v>
                </c:pt>
                <c:pt idx="6">
                  <c:v>20500</c:v>
                </c:pt>
                <c:pt idx="7">
                  <c:v>20500</c:v>
                </c:pt>
                <c:pt idx="8">
                  <c:v>20500</c:v>
                </c:pt>
                <c:pt idx="9">
                  <c:v>15350</c:v>
                </c:pt>
                <c:pt idx="10">
                  <c:v>15350</c:v>
                </c:pt>
              </c:numCache>
            </c:numRef>
          </c:val>
        </c:ser>
        <c:marker val="1"/>
        <c:axId val="53600640"/>
        <c:axId val="53602944"/>
      </c:lineChart>
      <c:catAx>
        <c:axId val="536006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Decade </a:t>
                </a:r>
              </a:p>
            </c:rich>
          </c:tx>
          <c:layout>
            <c:manualLayout>
              <c:xMode val="edge"/>
              <c:yMode val="edge"/>
              <c:x val="0.52228240623147915"/>
              <c:y val="0.8838724777237240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602944"/>
        <c:crosses val="autoZero"/>
        <c:auto val="1"/>
        <c:lblAlgn val="ctr"/>
        <c:lblOffset val="100"/>
        <c:tickLblSkip val="1"/>
        <c:tickMarkSkip val="1"/>
      </c:catAx>
      <c:valAx>
        <c:axId val="536029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Waste Volume (m3)</a:t>
                </a:r>
              </a:p>
            </c:rich>
          </c:tx>
          <c:layout>
            <c:manualLayout>
              <c:xMode val="edge"/>
              <c:yMode val="edge"/>
              <c:x val="2.8520447040894084E-2"/>
              <c:y val="0.3000003343531103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60064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663326653306612"/>
          <c:y val="2.17617020759838E-2"/>
          <c:w val="0.4589178356713427"/>
          <c:h val="6.839392081023480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- Comparison of Disposal Impacts</a:t>
            </a:r>
          </a:p>
        </c:rich>
      </c:tx>
      <c:layout>
        <c:manualLayout>
          <c:xMode val="edge"/>
          <c:yMode val="edge"/>
          <c:x val="0.26587320011293408"/>
          <c:y val="3.728817551652197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441850562176103"/>
          <c:y val="0.32978723404255306"/>
          <c:w val="0.80465070593505494"/>
          <c:h val="0.33510638297872308"/>
        </c:manualLayout>
      </c:layout>
      <c:barChart>
        <c:barDir val="col"/>
        <c:grouping val="clustered"/>
        <c:ser>
          <c:idx val="0"/>
          <c:order val="0"/>
          <c:tx>
            <c:strRef>
              <c:f>'DNLEU Results'!$B$161</c:f>
              <c:strCache>
                <c:ptCount val="1"/>
                <c:pt idx="0">
                  <c:v>Baseline Disposal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Results'!$A$162:$A$164</c:f>
              <c:strCache>
                <c:ptCount val="3"/>
                <c:pt idx="0">
                  <c:v>Interim Storage Package Impact</c:v>
                </c:pt>
                <c:pt idx="1">
                  <c:v>Disposal Package Impact</c:v>
                </c:pt>
                <c:pt idx="2">
                  <c:v>Disposal Impact</c:v>
                </c:pt>
              </c:strCache>
            </c:strRef>
          </c:cat>
          <c:val>
            <c:numRef>
              <c:f>'DNLEU Results'!$B$162:$B$164</c:f>
              <c:numCache>
                <c:formatCode>0.00</c:formatCode>
                <c:ptCount val="3"/>
                <c:pt idx="0">
                  <c:v>1.35</c:v>
                </c:pt>
                <c:pt idx="1">
                  <c:v>30.312499999999996</c:v>
                </c:pt>
                <c:pt idx="2">
                  <c:v>68.125</c:v>
                </c:pt>
              </c:numCache>
            </c:numRef>
          </c:val>
        </c:ser>
        <c:ser>
          <c:idx val="1"/>
          <c:order val="1"/>
          <c:tx>
            <c:strRef>
              <c:f>'DNLEU Results'!$C$161</c:f>
              <c:strCache>
                <c:ptCount val="1"/>
                <c:pt idx="0">
                  <c:v>HHISO/Liner Disposal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Results'!$A$162:$A$164</c:f>
              <c:strCache>
                <c:ptCount val="3"/>
                <c:pt idx="0">
                  <c:v>Interim Storage Package Impact</c:v>
                </c:pt>
                <c:pt idx="1">
                  <c:v>Disposal Package Impact</c:v>
                </c:pt>
                <c:pt idx="2">
                  <c:v>Disposal Impact</c:v>
                </c:pt>
              </c:strCache>
            </c:strRef>
          </c:cat>
          <c:val>
            <c:numRef>
              <c:f>'DNLEU Results'!$C$162:$C$164</c:f>
              <c:numCache>
                <c:formatCode>0.00</c:formatCode>
                <c:ptCount val="3"/>
                <c:pt idx="0">
                  <c:v>1.35</c:v>
                </c:pt>
                <c:pt idx="1">
                  <c:v>3.84375</c:v>
                </c:pt>
                <c:pt idx="2">
                  <c:v>54.508125</c:v>
                </c:pt>
              </c:numCache>
            </c:numRef>
          </c:val>
        </c:ser>
        <c:ser>
          <c:idx val="2"/>
          <c:order val="2"/>
          <c:tx>
            <c:strRef>
              <c:f>'DNLEU Results'!$D$161</c:f>
              <c:strCache>
                <c:ptCount val="1"/>
                <c:pt idx="0">
                  <c:v>Grouted 4m Box Disposal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Results'!$A$162:$A$164</c:f>
              <c:strCache>
                <c:ptCount val="3"/>
                <c:pt idx="0">
                  <c:v>Interim Storage Package Impact</c:v>
                </c:pt>
                <c:pt idx="1">
                  <c:v>Disposal Package Impact</c:v>
                </c:pt>
                <c:pt idx="2">
                  <c:v>Disposal Impact</c:v>
                </c:pt>
              </c:strCache>
            </c:strRef>
          </c:cat>
          <c:val>
            <c:numRef>
              <c:f>'DNLEU Results'!$D$162:$D$164</c:f>
              <c:numCache>
                <c:formatCode>0.00</c:formatCode>
                <c:ptCount val="3"/>
                <c:pt idx="0">
                  <c:v>1.35</c:v>
                </c:pt>
                <c:pt idx="1">
                  <c:v>17.78125</c:v>
                </c:pt>
                <c:pt idx="2">
                  <c:v>86.483125000000001</c:v>
                </c:pt>
              </c:numCache>
            </c:numRef>
          </c:val>
        </c:ser>
        <c:ser>
          <c:idx val="3"/>
          <c:order val="3"/>
          <c:tx>
            <c:strRef>
              <c:f>'DNLEU Results'!$E$161</c:f>
              <c:strCache>
                <c:ptCount val="1"/>
                <c:pt idx="0">
                  <c:v>Overpacked LTIS as ILW Disposal</c:v>
                </c:pt>
              </c:strCache>
            </c:strRef>
          </c:tx>
          <c:spPr>
            <a:pattFill prst="wdUpDiag">
              <a:fgClr>
                <a:srgbClr val="EF383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Results'!$A$162:$A$164</c:f>
              <c:strCache>
                <c:ptCount val="3"/>
                <c:pt idx="0">
                  <c:v>Interim Storage Package Impact</c:v>
                </c:pt>
                <c:pt idx="1">
                  <c:v>Disposal Package Impact</c:v>
                </c:pt>
                <c:pt idx="2">
                  <c:v>Disposal Impact</c:v>
                </c:pt>
              </c:strCache>
            </c:strRef>
          </c:cat>
          <c:val>
            <c:numRef>
              <c:f>'DNLEU Results'!$E$162:$E$164</c:f>
              <c:numCache>
                <c:formatCode>0.00</c:formatCode>
                <c:ptCount val="3"/>
                <c:pt idx="0">
                  <c:v>1.7865625000000001</c:v>
                </c:pt>
                <c:pt idx="1">
                  <c:v>20.134374999999999</c:v>
                </c:pt>
                <c:pt idx="2">
                  <c:v>104.375</c:v>
                </c:pt>
              </c:numCache>
            </c:numRef>
          </c:val>
        </c:ser>
        <c:axId val="34945664"/>
        <c:axId val="34968320"/>
      </c:barChart>
      <c:catAx>
        <c:axId val="349456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Cummulative Product Stages</a:t>
                </a:r>
              </a:p>
            </c:rich>
          </c:tx>
          <c:layout>
            <c:manualLayout>
              <c:xMode val="edge"/>
              <c:yMode val="edge"/>
              <c:x val="0.40277859689849527"/>
              <c:y val="0.8779678982434887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968320"/>
        <c:crosses val="autoZero"/>
        <c:auto val="1"/>
        <c:lblAlgn val="ctr"/>
        <c:lblOffset val="100"/>
        <c:tickLblSkip val="1"/>
        <c:tickMarkSkip val="1"/>
      </c:catAx>
      <c:valAx>
        <c:axId val="349683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Baseline Net Impact</a:t>
                </a:r>
              </a:p>
            </c:rich>
          </c:tx>
          <c:layout>
            <c:manualLayout>
              <c:xMode val="edge"/>
              <c:yMode val="edge"/>
              <c:x val="3.1745981951459251E-2"/>
              <c:y val="0.32203412073490817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94566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274900398406374"/>
          <c:y val="9.9358974358974353E-2"/>
          <c:w val="0.52788844621513942"/>
          <c:h val="0.2051282051282051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- Comparison of Normalised Disposal Results</a:t>
            </a:r>
          </a:p>
        </c:rich>
      </c:tx>
      <c:layout>
        <c:manualLayout>
          <c:xMode val="edge"/>
          <c:yMode val="edge"/>
          <c:x val="0.16229534652762997"/>
          <c:y val="3.218381994286112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147283474877301"/>
          <c:y val="0.27304952719418002"/>
          <c:w val="0.84108507234202012"/>
          <c:h val="0.29432611372879208"/>
        </c:manualLayout>
      </c:layout>
      <c:lineChart>
        <c:grouping val="standard"/>
        <c:ser>
          <c:idx val="0"/>
          <c:order val="0"/>
          <c:tx>
            <c:strRef>
              <c:f>'DNLEU Results'!$B$174</c:f>
              <c:strCache>
                <c:ptCount val="1"/>
                <c:pt idx="0">
                  <c:v>Baseline Disposal</c:v>
                </c:pt>
              </c:strCache>
            </c:strRef>
          </c:tx>
          <c:spPr>
            <a:ln w="12700">
              <a:solidFill>
                <a:srgbClr val="7CC861"/>
              </a:solidFill>
              <a:prstDash val="solid"/>
            </a:ln>
          </c:spPr>
          <c:marker>
            <c:symbol val="none"/>
          </c:marker>
          <c:cat>
            <c:strRef>
              <c:f>'DNLEU Results'!$A$175:$A$185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Results'!$B$175:$B$185</c:f>
              <c:numCache>
                <c:formatCode>General</c:formatCode>
                <c:ptCount val="11"/>
                <c:pt idx="0" formatCode="0.00E+00">
                  <c:v>37700</c:v>
                </c:pt>
                <c:pt idx="1">
                  <c:v>234</c:v>
                </c:pt>
                <c:pt idx="2" formatCode="0.00E+00">
                  <c:v>333000</c:v>
                </c:pt>
                <c:pt idx="3" formatCode="0.00E+00">
                  <c:v>61800</c:v>
                </c:pt>
                <c:pt idx="4" formatCode="0.00E+00">
                  <c:v>1260</c:v>
                </c:pt>
                <c:pt idx="5">
                  <c:v>50.6</c:v>
                </c:pt>
                <c:pt idx="6" formatCode="0.00E+00">
                  <c:v>69500</c:v>
                </c:pt>
                <c:pt idx="7" formatCode="0.00E+00">
                  <c:v>8940</c:v>
                </c:pt>
                <c:pt idx="8" formatCode="0.00E+00">
                  <c:v>6290</c:v>
                </c:pt>
                <c:pt idx="9" formatCode="0.00E+00">
                  <c:v>185000</c:v>
                </c:pt>
                <c:pt idx="10" formatCode="0.00E+00">
                  <c:v>395000</c:v>
                </c:pt>
              </c:numCache>
            </c:numRef>
          </c:val>
        </c:ser>
        <c:ser>
          <c:idx val="1"/>
          <c:order val="1"/>
          <c:tx>
            <c:strRef>
              <c:f>'DNLEU Results'!$C$174</c:f>
              <c:strCache>
                <c:ptCount val="1"/>
                <c:pt idx="0">
                  <c:v>HHISO/Liner Disposal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'DNLEU Results'!$A$175:$A$185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Results'!$C$175:$C$185</c:f>
              <c:numCache>
                <c:formatCode>0.00E+00</c:formatCode>
                <c:ptCount val="11"/>
                <c:pt idx="0">
                  <c:v>26700</c:v>
                </c:pt>
                <c:pt idx="1">
                  <c:v>173</c:v>
                </c:pt>
                <c:pt idx="2">
                  <c:v>196500</c:v>
                </c:pt>
                <c:pt idx="3">
                  <c:v>45400</c:v>
                </c:pt>
                <c:pt idx="4">
                  <c:v>954</c:v>
                </c:pt>
                <c:pt idx="5">
                  <c:v>38.799999999999997</c:v>
                </c:pt>
                <c:pt idx="6">
                  <c:v>25700</c:v>
                </c:pt>
                <c:pt idx="7">
                  <c:v>6610</c:v>
                </c:pt>
                <c:pt idx="8">
                  <c:v>4330</c:v>
                </c:pt>
                <c:pt idx="9">
                  <c:v>49900</c:v>
                </c:pt>
                <c:pt idx="10">
                  <c:v>291000</c:v>
                </c:pt>
              </c:numCache>
            </c:numRef>
          </c:val>
        </c:ser>
        <c:ser>
          <c:idx val="2"/>
          <c:order val="2"/>
          <c:tx>
            <c:strRef>
              <c:f>'DNLEU Results'!$D$174</c:f>
              <c:strCache>
                <c:ptCount val="1"/>
                <c:pt idx="0">
                  <c:v>Grouted 4m BoxDisposal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'DNLEU Results'!$A$175:$A$185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Results'!$D$175:$D$185</c:f>
              <c:numCache>
                <c:formatCode>0.00E+00</c:formatCode>
                <c:ptCount val="11"/>
                <c:pt idx="0">
                  <c:v>43400</c:v>
                </c:pt>
                <c:pt idx="1">
                  <c:v>277</c:v>
                </c:pt>
                <c:pt idx="2">
                  <c:v>344000</c:v>
                </c:pt>
                <c:pt idx="3">
                  <c:v>73200</c:v>
                </c:pt>
                <c:pt idx="4">
                  <c:v>1530</c:v>
                </c:pt>
                <c:pt idx="5">
                  <c:v>62</c:v>
                </c:pt>
                <c:pt idx="6">
                  <c:v>54300</c:v>
                </c:pt>
                <c:pt idx="7">
                  <c:v>10600</c:v>
                </c:pt>
                <c:pt idx="8">
                  <c:v>7100</c:v>
                </c:pt>
                <c:pt idx="9">
                  <c:v>148000</c:v>
                </c:pt>
                <c:pt idx="10">
                  <c:v>469000</c:v>
                </c:pt>
              </c:numCache>
            </c:numRef>
          </c:val>
        </c:ser>
        <c:ser>
          <c:idx val="3"/>
          <c:order val="3"/>
          <c:tx>
            <c:strRef>
              <c:f>'DNLEU Results'!$E$174</c:f>
              <c:strCache>
                <c:ptCount val="1"/>
                <c:pt idx="0">
                  <c:v>NSD as ILW Disposal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'DNLEU Results'!$A$175:$A$185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Results'!$E$175:$E$185</c:f>
              <c:numCache>
                <c:formatCode>0.00E+00</c:formatCode>
                <c:ptCount val="11"/>
                <c:pt idx="0">
                  <c:v>52500</c:v>
                </c:pt>
                <c:pt idx="1">
                  <c:v>333</c:v>
                </c:pt>
                <c:pt idx="2">
                  <c:v>412000</c:v>
                </c:pt>
                <c:pt idx="3">
                  <c:v>87900</c:v>
                </c:pt>
                <c:pt idx="4">
                  <c:v>1850</c:v>
                </c:pt>
                <c:pt idx="5">
                  <c:v>75.099999999999994</c:v>
                </c:pt>
                <c:pt idx="6">
                  <c:v>64500</c:v>
                </c:pt>
                <c:pt idx="7">
                  <c:v>12700</c:v>
                </c:pt>
                <c:pt idx="8">
                  <c:v>8520</c:v>
                </c:pt>
                <c:pt idx="9">
                  <c:v>176000</c:v>
                </c:pt>
                <c:pt idx="10">
                  <c:v>564000</c:v>
                </c:pt>
              </c:numCache>
            </c:numRef>
          </c:val>
        </c:ser>
        <c:marker val="1"/>
        <c:axId val="35003392"/>
        <c:axId val="35009664"/>
      </c:lineChart>
      <c:catAx>
        <c:axId val="350033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8524615166347446"/>
              <c:y val="0.9103467818735047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009664"/>
        <c:crosses val="autoZero"/>
        <c:auto val="1"/>
        <c:lblAlgn val="ctr"/>
        <c:lblOffset val="100"/>
        <c:tickLblSkip val="1"/>
        <c:tickMarkSkip val="1"/>
      </c:catAx>
      <c:valAx>
        <c:axId val="350096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6229516918493293E-2"/>
              <c:y val="0.3333340301488863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00339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377740303541314"/>
          <c:y val="9.5343783934771623E-2"/>
          <c:w val="0.46374367622259699"/>
          <c:h val="0.15077621645498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Comparison of Weighted Disposal Results</a:t>
            </a:r>
          </a:p>
        </c:rich>
      </c:tx>
      <c:layout>
        <c:manualLayout>
          <c:xMode val="edge"/>
          <c:yMode val="edge"/>
          <c:x val="0.21044065471715534"/>
          <c:y val="3.361339609085177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726380239963202"/>
          <c:y val="0.28632508505805609"/>
          <c:w val="0.80539423264180621"/>
          <c:h val="0.22649596280711903"/>
        </c:manualLayout>
      </c:layout>
      <c:lineChart>
        <c:grouping val="standard"/>
        <c:ser>
          <c:idx val="0"/>
          <c:order val="0"/>
          <c:tx>
            <c:strRef>
              <c:f>'DNLEU Results'!$B$188</c:f>
              <c:strCache>
                <c:ptCount val="1"/>
                <c:pt idx="0">
                  <c:v>Baseline Disposal</c:v>
                </c:pt>
              </c:strCache>
            </c:strRef>
          </c:tx>
          <c:spPr>
            <a:ln w="12700">
              <a:solidFill>
                <a:srgbClr val="7CC861"/>
              </a:solidFill>
              <a:prstDash val="solid"/>
            </a:ln>
          </c:spPr>
          <c:marker>
            <c:symbol val="none"/>
          </c:marker>
          <c:cat>
            <c:strRef>
              <c:f>'DNLEU Results'!$A$189:$A$199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Results'!$B$189:$B$199</c:f>
              <c:numCache>
                <c:formatCode>0.00</c:formatCode>
                <c:ptCount val="11"/>
                <c:pt idx="0">
                  <c:v>4.71875</c:v>
                </c:pt>
                <c:pt idx="1">
                  <c:v>2.9281249999999998E-2</c:v>
                </c:pt>
                <c:pt idx="2">
                  <c:v>40.3125</c:v>
                </c:pt>
                <c:pt idx="3">
                  <c:v>7.7187500000000009</c:v>
                </c:pt>
                <c:pt idx="4">
                  <c:v>0.15718749999999998</c:v>
                </c:pt>
                <c:pt idx="5">
                  <c:v>6.3125000000000004E-3</c:v>
                </c:pt>
                <c:pt idx="6">
                  <c:v>8.6875</c:v>
                </c:pt>
                <c:pt idx="7">
                  <c:v>1.1187499999999999</c:v>
                </c:pt>
                <c:pt idx="8">
                  <c:v>0.78749999999999998</c:v>
                </c:pt>
                <c:pt idx="9">
                  <c:v>11.5625</c:v>
                </c:pt>
                <c:pt idx="10">
                  <c:v>24.71875</c:v>
                </c:pt>
              </c:numCache>
            </c:numRef>
          </c:val>
        </c:ser>
        <c:ser>
          <c:idx val="1"/>
          <c:order val="1"/>
          <c:tx>
            <c:strRef>
              <c:f>'DNLEU Results'!$C$188</c:f>
              <c:strCache>
                <c:ptCount val="1"/>
                <c:pt idx="0">
                  <c:v>HHISO/Liner Disposal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'DNLEU Results'!$A$189:$A$199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Results'!$C$189:$C$199</c:f>
              <c:numCache>
                <c:formatCode>0.00</c:formatCode>
                <c:ptCount val="11"/>
                <c:pt idx="0">
                  <c:v>3.34375</c:v>
                </c:pt>
                <c:pt idx="1">
                  <c:v>2.1687499999999998E-2</c:v>
                </c:pt>
                <c:pt idx="2">
                  <c:v>24.46875</c:v>
                </c:pt>
                <c:pt idx="3">
                  <c:v>5.6875</c:v>
                </c:pt>
                <c:pt idx="4">
                  <c:v>0.119375</c:v>
                </c:pt>
                <c:pt idx="5">
                  <c:v>4.84375E-3</c:v>
                </c:pt>
                <c:pt idx="6">
                  <c:v>3.21875</c:v>
                </c:pt>
                <c:pt idx="7">
                  <c:v>0.82500000000000007</c:v>
                </c:pt>
                <c:pt idx="8">
                  <c:v>0.54062499999999991</c:v>
                </c:pt>
                <c:pt idx="9">
                  <c:v>3.1218750000000002</c:v>
                </c:pt>
                <c:pt idx="10">
                  <c:v>18.15625</c:v>
                </c:pt>
              </c:numCache>
            </c:numRef>
          </c:val>
        </c:ser>
        <c:ser>
          <c:idx val="2"/>
          <c:order val="2"/>
          <c:tx>
            <c:strRef>
              <c:f>'DNLEU Results'!$D$188</c:f>
              <c:strCache>
                <c:ptCount val="1"/>
                <c:pt idx="0">
                  <c:v>Grouted 4m Box Disposal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'DNLEU Results'!$A$189:$A$199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Results'!$D$189:$D$199</c:f>
              <c:numCache>
                <c:formatCode>0.00</c:formatCode>
                <c:ptCount val="11"/>
                <c:pt idx="0">
                  <c:v>5.4375</c:v>
                </c:pt>
                <c:pt idx="1">
                  <c:v>3.4687500000000003E-2</c:v>
                </c:pt>
                <c:pt idx="2">
                  <c:v>42.8125</c:v>
                </c:pt>
                <c:pt idx="3">
                  <c:v>9.15625</c:v>
                </c:pt>
                <c:pt idx="4">
                  <c:v>0.19093750000000001</c:v>
                </c:pt>
                <c:pt idx="5">
                  <c:v>7.7499999999999999E-3</c:v>
                </c:pt>
                <c:pt idx="6">
                  <c:v>6.78125</c:v>
                </c:pt>
                <c:pt idx="7">
                  <c:v>1.3218749999999999</c:v>
                </c:pt>
                <c:pt idx="8">
                  <c:v>0.88749999999999996</c:v>
                </c:pt>
                <c:pt idx="9">
                  <c:v>9.25</c:v>
                </c:pt>
                <c:pt idx="10">
                  <c:v>29.281249999999996</c:v>
                </c:pt>
              </c:numCache>
            </c:numRef>
          </c:val>
        </c:ser>
        <c:ser>
          <c:idx val="3"/>
          <c:order val="3"/>
          <c:tx>
            <c:strRef>
              <c:f>'DNLEU Results'!$E$188</c:f>
              <c:strCache>
                <c:ptCount val="1"/>
                <c:pt idx="0">
                  <c:v>NSD as ILW Disposal 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'DNLEU Results'!$A$189:$A$199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Results'!$E$189:$E$199</c:f>
              <c:numCache>
                <c:formatCode>0.00</c:formatCode>
                <c:ptCount val="11"/>
                <c:pt idx="0">
                  <c:v>6.5625</c:v>
                </c:pt>
                <c:pt idx="1">
                  <c:v>4.1562499999999995E-2</c:v>
                </c:pt>
                <c:pt idx="2">
                  <c:v>51.5625</c:v>
                </c:pt>
                <c:pt idx="3">
                  <c:v>10.96875</c:v>
                </c:pt>
                <c:pt idx="4">
                  <c:v>0.2315625</c:v>
                </c:pt>
                <c:pt idx="5">
                  <c:v>9.3749999999999997E-3</c:v>
                </c:pt>
                <c:pt idx="6">
                  <c:v>8.0625</c:v>
                </c:pt>
                <c:pt idx="7">
                  <c:v>1.5874999999999999</c:v>
                </c:pt>
                <c:pt idx="8">
                  <c:v>1.065625</c:v>
                </c:pt>
                <c:pt idx="9">
                  <c:v>11</c:v>
                </c:pt>
                <c:pt idx="10">
                  <c:v>35.3125</c:v>
                </c:pt>
              </c:numCache>
            </c:numRef>
          </c:val>
        </c:ser>
        <c:marker val="1"/>
        <c:axId val="35061120"/>
        <c:axId val="35079680"/>
      </c:lineChart>
      <c:catAx>
        <c:axId val="350611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8124014648922653"/>
              <c:y val="0.8935597296148037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079680"/>
        <c:crosses val="autoZero"/>
        <c:auto val="1"/>
        <c:lblAlgn val="ctr"/>
        <c:lblOffset val="100"/>
        <c:tickLblSkip val="1"/>
        <c:tickMarkSkip val="1"/>
      </c:catAx>
      <c:valAx>
        <c:axId val="350796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Baseline Net Impact</a:t>
                </a:r>
              </a:p>
            </c:rich>
          </c:tx>
          <c:layout>
            <c:manualLayout>
              <c:xMode val="edge"/>
              <c:yMode val="edge"/>
              <c:x val="2.61011092206439E-2"/>
              <c:y val="0.22969251748559363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06112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175879396984927"/>
          <c:y val="9.7765363128491614E-2"/>
          <c:w val="0.44221105527638194"/>
          <c:h val="0.1675977653631284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- Comparison of Disposal Impacts</a:t>
            </a:r>
          </a:p>
        </c:rich>
      </c:tx>
      <c:layout>
        <c:manualLayout>
          <c:xMode val="edge"/>
          <c:yMode val="edge"/>
          <c:x val="0.21972319033891255"/>
          <c:y val="3.21782178217821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836425946612603"/>
          <c:y val="0.24436123867578302"/>
          <c:w val="0.85300120806522506"/>
          <c:h val="0.50000068836737199"/>
        </c:manualLayout>
      </c:layout>
      <c:barChart>
        <c:barDir val="col"/>
        <c:grouping val="clustered"/>
        <c:ser>
          <c:idx val="0"/>
          <c:order val="0"/>
          <c:tx>
            <c:strRef>
              <c:f>'DNLEU Results'!$B$221</c:f>
              <c:strCache>
                <c:ptCount val="1"/>
                <c:pt idx="0">
                  <c:v>Baseline Disposal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Results'!$A$222:$A$224</c:f>
              <c:strCache>
                <c:ptCount val="3"/>
                <c:pt idx="0">
                  <c:v>Interim Storage Package Impact</c:v>
                </c:pt>
                <c:pt idx="1">
                  <c:v>Disposal Package Impact</c:v>
                </c:pt>
                <c:pt idx="2">
                  <c:v>Disposal Impact</c:v>
                </c:pt>
              </c:strCache>
            </c:strRef>
          </c:cat>
          <c:val>
            <c:numRef>
              <c:f>'DNLEU Results'!$B$222:$B$224</c:f>
              <c:numCache>
                <c:formatCode>0.00</c:formatCode>
                <c:ptCount val="3"/>
                <c:pt idx="0">
                  <c:v>1.35</c:v>
                </c:pt>
                <c:pt idx="1">
                  <c:v>30.312499999999996</c:v>
                </c:pt>
                <c:pt idx="2">
                  <c:v>68.125</c:v>
                </c:pt>
              </c:numCache>
            </c:numRef>
          </c:val>
        </c:ser>
        <c:ser>
          <c:idx val="1"/>
          <c:order val="1"/>
          <c:tx>
            <c:strRef>
              <c:f>'DNLEU Results'!$C$221</c:f>
              <c:strCache>
                <c:ptCount val="1"/>
                <c:pt idx="0">
                  <c:v>HHISO/Liner Disposal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Results'!$A$222:$A$224</c:f>
              <c:strCache>
                <c:ptCount val="3"/>
                <c:pt idx="0">
                  <c:v>Interim Storage Package Impact</c:v>
                </c:pt>
                <c:pt idx="1">
                  <c:v>Disposal Package Impact</c:v>
                </c:pt>
                <c:pt idx="2">
                  <c:v>Disposal Impact</c:v>
                </c:pt>
              </c:strCache>
            </c:strRef>
          </c:cat>
          <c:val>
            <c:numRef>
              <c:f>'DNLEU Results'!$C$222:$C$224</c:f>
              <c:numCache>
                <c:formatCode>0.00</c:formatCode>
                <c:ptCount val="3"/>
                <c:pt idx="0">
                  <c:v>1.35</c:v>
                </c:pt>
                <c:pt idx="1">
                  <c:v>3.84375</c:v>
                </c:pt>
                <c:pt idx="2">
                  <c:v>54.374999999999993</c:v>
                </c:pt>
              </c:numCache>
            </c:numRef>
          </c:val>
        </c:ser>
        <c:ser>
          <c:idx val="2"/>
          <c:order val="2"/>
          <c:tx>
            <c:strRef>
              <c:f>'DNLEU Results'!$D$221</c:f>
              <c:strCache>
                <c:ptCount val="1"/>
                <c:pt idx="0">
                  <c:v>Grouted 4m Box Disposal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Results'!$A$222:$A$224</c:f>
              <c:strCache>
                <c:ptCount val="3"/>
                <c:pt idx="0">
                  <c:v>Interim Storage Package Impact</c:v>
                </c:pt>
                <c:pt idx="1">
                  <c:v>Disposal Package Impact</c:v>
                </c:pt>
                <c:pt idx="2">
                  <c:v>Disposal Impact</c:v>
                </c:pt>
              </c:strCache>
            </c:strRef>
          </c:cat>
          <c:val>
            <c:numRef>
              <c:f>'DNLEU Results'!$D$222:$D$224</c:f>
              <c:numCache>
                <c:formatCode>0.00</c:formatCode>
                <c:ptCount val="3"/>
                <c:pt idx="0">
                  <c:v>1.35</c:v>
                </c:pt>
                <c:pt idx="1">
                  <c:v>17.78125</c:v>
                </c:pt>
                <c:pt idx="2">
                  <c:v>86.483125000000001</c:v>
                </c:pt>
              </c:numCache>
            </c:numRef>
          </c:val>
        </c:ser>
        <c:ser>
          <c:idx val="3"/>
          <c:order val="3"/>
          <c:tx>
            <c:strRef>
              <c:f>'DNLEU Results'!$E$221</c:f>
              <c:strCache>
                <c:ptCount val="1"/>
                <c:pt idx="0">
                  <c:v>200l Drum &amp; 4m Box Disposal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Results'!$A$222:$A$224</c:f>
              <c:strCache>
                <c:ptCount val="3"/>
                <c:pt idx="0">
                  <c:v>Interim Storage Package Impact</c:v>
                </c:pt>
                <c:pt idx="1">
                  <c:v>Disposal Package Impact</c:v>
                </c:pt>
                <c:pt idx="2">
                  <c:v>Disposal Impact</c:v>
                </c:pt>
              </c:strCache>
            </c:strRef>
          </c:cat>
          <c:val>
            <c:numRef>
              <c:f>'DNLEU Results'!$E$222:$E$224</c:f>
              <c:numCache>
                <c:formatCode>0.00</c:formatCode>
                <c:ptCount val="3"/>
                <c:pt idx="0">
                  <c:v>1.35</c:v>
                </c:pt>
                <c:pt idx="1">
                  <c:v>11.84375</c:v>
                </c:pt>
                <c:pt idx="2">
                  <c:v>38.314375000000005</c:v>
                </c:pt>
              </c:numCache>
            </c:numRef>
          </c:val>
        </c:ser>
        <c:ser>
          <c:idx val="4"/>
          <c:order val="4"/>
          <c:tx>
            <c:strRef>
              <c:f>'DNLEU Results'!$F$221</c:f>
              <c:strCache>
                <c:ptCount val="1"/>
                <c:pt idx="0">
                  <c:v>Overpacked LTIS as ILW Disposal</c:v>
                </c:pt>
              </c:strCache>
            </c:strRef>
          </c:tx>
          <c:spPr>
            <a:pattFill prst="wdUpDiag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Results'!$A$222:$A$224</c:f>
              <c:strCache>
                <c:ptCount val="3"/>
                <c:pt idx="0">
                  <c:v>Interim Storage Package Impact</c:v>
                </c:pt>
                <c:pt idx="1">
                  <c:v>Disposal Package Impact</c:v>
                </c:pt>
                <c:pt idx="2">
                  <c:v>Disposal Impact</c:v>
                </c:pt>
              </c:strCache>
            </c:strRef>
          </c:cat>
          <c:val>
            <c:numRef>
              <c:f>'DNLEU Results'!$F$222:$F$224</c:f>
              <c:numCache>
                <c:formatCode>0.00</c:formatCode>
                <c:ptCount val="3"/>
                <c:pt idx="0">
                  <c:v>1.7865625000000001</c:v>
                </c:pt>
                <c:pt idx="1">
                  <c:v>20.134374999999999</c:v>
                </c:pt>
                <c:pt idx="2">
                  <c:v>104.375</c:v>
                </c:pt>
              </c:numCache>
            </c:numRef>
          </c:val>
        </c:ser>
        <c:axId val="35136256"/>
        <c:axId val="35138176"/>
      </c:barChart>
      <c:catAx>
        <c:axId val="351362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Cumulative Product Stages</a:t>
                </a:r>
              </a:p>
            </c:rich>
          </c:tx>
          <c:layout>
            <c:manualLayout>
              <c:xMode val="edge"/>
              <c:yMode val="edge"/>
              <c:x val="0.41176464963737458"/>
              <c:y val="0.9059405940594059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38176"/>
        <c:crosses val="autoZero"/>
        <c:auto val="1"/>
        <c:lblAlgn val="ctr"/>
        <c:lblOffset val="100"/>
        <c:tickLblSkip val="1"/>
        <c:tickMarkSkip val="1"/>
      </c:catAx>
      <c:valAx>
        <c:axId val="351381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Baseline Net Impact</a:t>
                </a:r>
              </a:p>
            </c:rich>
          </c:tx>
          <c:layout>
            <c:manualLayout>
              <c:xMode val="edge"/>
              <c:yMode val="edge"/>
              <c:x val="5.5363270847974606E-2"/>
              <c:y val="0.2524752475247524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3625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132969034608378"/>
          <c:y val="8.4158415841584164E-2"/>
          <c:w val="0.4663023679417122"/>
          <c:h val="0.128712871287128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- Comparison of Normalised Disposal Results</a:t>
            </a:r>
          </a:p>
        </c:rich>
      </c:tx>
      <c:layout>
        <c:manualLayout>
          <c:xMode val="edge"/>
          <c:yMode val="edge"/>
          <c:x val="0.16558466980925043"/>
          <c:y val="3.17458877849692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653839743352003"/>
          <c:y val="0.22088310099166"/>
          <c:w val="0.84615344888378508"/>
          <c:h val="0.30923634138832401"/>
        </c:manualLayout>
      </c:layout>
      <c:lineChart>
        <c:grouping val="standard"/>
        <c:ser>
          <c:idx val="0"/>
          <c:order val="0"/>
          <c:tx>
            <c:strRef>
              <c:f>'DNLEU Results'!$B$228</c:f>
              <c:strCache>
                <c:ptCount val="1"/>
                <c:pt idx="0">
                  <c:v>Baseline Disposal</c:v>
                </c:pt>
              </c:strCache>
            </c:strRef>
          </c:tx>
          <c:spPr>
            <a:ln w="12700">
              <a:solidFill>
                <a:srgbClr val="7CC861"/>
              </a:solidFill>
              <a:prstDash val="solid"/>
            </a:ln>
          </c:spPr>
          <c:marker>
            <c:symbol val="none"/>
          </c:marker>
          <c:cat>
            <c:strRef>
              <c:f>'DNLEU Results'!$A$229:$A$239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Results'!$B$229:$B$239</c:f>
              <c:numCache>
                <c:formatCode>General</c:formatCode>
                <c:ptCount val="11"/>
                <c:pt idx="0" formatCode="0.00E+00">
                  <c:v>37700</c:v>
                </c:pt>
                <c:pt idx="1">
                  <c:v>234</c:v>
                </c:pt>
                <c:pt idx="2" formatCode="0.00E+00">
                  <c:v>333000</c:v>
                </c:pt>
                <c:pt idx="3" formatCode="0.00E+00">
                  <c:v>61800</c:v>
                </c:pt>
                <c:pt idx="4" formatCode="0.00E+00">
                  <c:v>1260</c:v>
                </c:pt>
                <c:pt idx="5">
                  <c:v>50.6</c:v>
                </c:pt>
                <c:pt idx="6" formatCode="0.00E+00">
                  <c:v>69500</c:v>
                </c:pt>
                <c:pt idx="7" formatCode="0.00E+00">
                  <c:v>8940</c:v>
                </c:pt>
                <c:pt idx="8" formatCode="0.00E+00">
                  <c:v>6290</c:v>
                </c:pt>
                <c:pt idx="9" formatCode="0.00E+00">
                  <c:v>185000</c:v>
                </c:pt>
                <c:pt idx="10" formatCode="0.00E+00">
                  <c:v>395000</c:v>
                </c:pt>
              </c:numCache>
            </c:numRef>
          </c:val>
        </c:ser>
        <c:ser>
          <c:idx val="1"/>
          <c:order val="1"/>
          <c:tx>
            <c:strRef>
              <c:f>'DNLEU Results'!$C$228</c:f>
              <c:strCache>
                <c:ptCount val="1"/>
                <c:pt idx="0">
                  <c:v>HHISO/Liner Disposal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'DNLEU Results'!$A$229:$A$239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Results'!$C$229:$C$239</c:f>
              <c:numCache>
                <c:formatCode>0.00E+00</c:formatCode>
                <c:ptCount val="11"/>
                <c:pt idx="0">
                  <c:v>26700</c:v>
                </c:pt>
                <c:pt idx="1">
                  <c:v>173</c:v>
                </c:pt>
                <c:pt idx="2">
                  <c:v>196500</c:v>
                </c:pt>
                <c:pt idx="3">
                  <c:v>45400</c:v>
                </c:pt>
                <c:pt idx="4">
                  <c:v>954</c:v>
                </c:pt>
                <c:pt idx="5">
                  <c:v>38.799999999999997</c:v>
                </c:pt>
                <c:pt idx="6">
                  <c:v>25700</c:v>
                </c:pt>
                <c:pt idx="7">
                  <c:v>6610</c:v>
                </c:pt>
                <c:pt idx="8">
                  <c:v>4330</c:v>
                </c:pt>
                <c:pt idx="9">
                  <c:v>49900</c:v>
                </c:pt>
                <c:pt idx="10">
                  <c:v>291000</c:v>
                </c:pt>
              </c:numCache>
            </c:numRef>
          </c:val>
        </c:ser>
        <c:ser>
          <c:idx val="2"/>
          <c:order val="2"/>
          <c:tx>
            <c:strRef>
              <c:f>'DNLEU Results'!$D$228</c:f>
              <c:strCache>
                <c:ptCount val="1"/>
                <c:pt idx="0">
                  <c:v>Grouted 4m Box Disposal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'DNLEU Results'!$A$229:$A$239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Results'!$D$229:$D$239</c:f>
              <c:numCache>
                <c:formatCode>0.00E+00</c:formatCode>
                <c:ptCount val="11"/>
                <c:pt idx="0">
                  <c:v>43400</c:v>
                </c:pt>
                <c:pt idx="1">
                  <c:v>277</c:v>
                </c:pt>
                <c:pt idx="2">
                  <c:v>344000</c:v>
                </c:pt>
                <c:pt idx="3">
                  <c:v>73200</c:v>
                </c:pt>
                <c:pt idx="4">
                  <c:v>1530</c:v>
                </c:pt>
                <c:pt idx="5">
                  <c:v>62</c:v>
                </c:pt>
                <c:pt idx="6">
                  <c:v>54300</c:v>
                </c:pt>
                <c:pt idx="7">
                  <c:v>10600</c:v>
                </c:pt>
                <c:pt idx="8">
                  <c:v>7100</c:v>
                </c:pt>
                <c:pt idx="9">
                  <c:v>148000</c:v>
                </c:pt>
                <c:pt idx="10">
                  <c:v>469000</c:v>
                </c:pt>
              </c:numCache>
            </c:numRef>
          </c:val>
        </c:ser>
        <c:ser>
          <c:idx val="3"/>
          <c:order val="3"/>
          <c:tx>
            <c:strRef>
              <c:f>'DNLEU Results'!$E$228</c:f>
              <c:strCache>
                <c:ptCount val="1"/>
                <c:pt idx="0">
                  <c:v>200l Drums &amp; 4m Box Disposal</c:v>
                </c:pt>
              </c:strCache>
            </c:strRef>
          </c:tx>
          <c:spPr>
            <a:ln w="12700">
              <a:solidFill>
                <a:srgbClr val="9D56AB"/>
              </a:solidFill>
              <a:prstDash val="solid"/>
            </a:ln>
          </c:spPr>
          <c:marker>
            <c:symbol val="none"/>
          </c:marker>
          <c:cat>
            <c:strRef>
              <c:f>'DNLEU Results'!$A$229:$A$239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Results'!$E$229:$E$239</c:f>
              <c:numCache>
                <c:formatCode>0.00E+00</c:formatCode>
                <c:ptCount val="11"/>
                <c:pt idx="0">
                  <c:v>20300</c:v>
                </c:pt>
                <c:pt idx="1">
                  <c:v>128</c:v>
                </c:pt>
                <c:pt idx="2">
                  <c:v>167000</c:v>
                </c:pt>
                <c:pt idx="3">
                  <c:v>33300</c:v>
                </c:pt>
                <c:pt idx="4">
                  <c:v>695</c:v>
                </c:pt>
                <c:pt idx="5">
                  <c:v>28.1</c:v>
                </c:pt>
                <c:pt idx="6">
                  <c:v>30700</c:v>
                </c:pt>
                <c:pt idx="7">
                  <c:v>4870</c:v>
                </c:pt>
                <c:pt idx="8">
                  <c:v>3380</c:v>
                </c:pt>
                <c:pt idx="9">
                  <c:v>82700</c:v>
                </c:pt>
                <c:pt idx="10">
                  <c:v>217000</c:v>
                </c:pt>
              </c:numCache>
            </c:numRef>
          </c:val>
        </c:ser>
        <c:ser>
          <c:idx val="4"/>
          <c:order val="4"/>
          <c:tx>
            <c:strRef>
              <c:f>'DNLEU Results'!$F$228</c:f>
              <c:strCache>
                <c:ptCount val="1"/>
                <c:pt idx="0">
                  <c:v>NSD as ILW Disposal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'DNLEU Results'!$A$229:$A$239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Results'!$F$229:$F$239</c:f>
              <c:numCache>
                <c:formatCode>0.00E+00</c:formatCode>
                <c:ptCount val="11"/>
                <c:pt idx="0">
                  <c:v>52500</c:v>
                </c:pt>
                <c:pt idx="1">
                  <c:v>333</c:v>
                </c:pt>
                <c:pt idx="2">
                  <c:v>412000</c:v>
                </c:pt>
                <c:pt idx="3">
                  <c:v>87900</c:v>
                </c:pt>
                <c:pt idx="4">
                  <c:v>1850</c:v>
                </c:pt>
                <c:pt idx="5">
                  <c:v>75.099999999999994</c:v>
                </c:pt>
                <c:pt idx="6">
                  <c:v>64500</c:v>
                </c:pt>
                <c:pt idx="7">
                  <c:v>12700</c:v>
                </c:pt>
                <c:pt idx="8">
                  <c:v>8520</c:v>
                </c:pt>
                <c:pt idx="9">
                  <c:v>176000</c:v>
                </c:pt>
                <c:pt idx="10">
                  <c:v>564000</c:v>
                </c:pt>
              </c:numCache>
            </c:numRef>
          </c:val>
        </c:ser>
        <c:marker val="1"/>
        <c:axId val="35194752"/>
        <c:axId val="35209216"/>
      </c:lineChart>
      <c:catAx>
        <c:axId val="351947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821432772408466"/>
              <c:y val="0.925928185678360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09216"/>
        <c:crosses val="autoZero"/>
        <c:auto val="1"/>
        <c:lblAlgn val="ctr"/>
        <c:lblOffset val="100"/>
        <c:tickLblSkip val="1"/>
        <c:tickMarkSkip val="1"/>
      </c:catAx>
      <c:valAx>
        <c:axId val="352092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8.1168198456798256E-3"/>
              <c:y val="0.23545038545574473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9475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421426255998393"/>
          <c:y val="8.6614395234567834E-2"/>
          <c:w val="0.51672282994325969"/>
          <c:h val="0.1469820040344181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- Comparison of Weighted Disposal Results</a:t>
            </a:r>
          </a:p>
        </c:rich>
      </c:tx>
      <c:layout>
        <c:manualLayout>
          <c:xMode val="edge"/>
          <c:yMode val="edge"/>
          <c:x val="0.18109006176208173"/>
          <c:y val="3.37662337662337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060172458893"/>
          <c:y val="0.28853810627568105"/>
          <c:w val="0.74248188447365204"/>
          <c:h val="0.26877522228419598"/>
        </c:manualLayout>
      </c:layout>
      <c:lineChart>
        <c:grouping val="standard"/>
        <c:ser>
          <c:idx val="0"/>
          <c:order val="0"/>
          <c:tx>
            <c:strRef>
              <c:f>'DNLEU Results'!$B$242</c:f>
              <c:strCache>
                <c:ptCount val="1"/>
                <c:pt idx="0">
                  <c:v>Baseline Disposal</c:v>
                </c:pt>
              </c:strCache>
            </c:strRef>
          </c:tx>
          <c:spPr>
            <a:ln w="12700">
              <a:solidFill>
                <a:srgbClr val="7CC861"/>
              </a:solidFill>
              <a:prstDash val="solid"/>
            </a:ln>
          </c:spPr>
          <c:marker>
            <c:symbol val="none"/>
          </c:marker>
          <c:cat>
            <c:strRef>
              <c:f>'DNLEU Results'!$A$243:$A$253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Results'!$B$243:$B$253</c:f>
              <c:numCache>
                <c:formatCode>0.00</c:formatCode>
                <c:ptCount val="11"/>
                <c:pt idx="0">
                  <c:v>4.71875</c:v>
                </c:pt>
                <c:pt idx="1">
                  <c:v>2.9281249999999998E-2</c:v>
                </c:pt>
                <c:pt idx="2">
                  <c:v>40.3125</c:v>
                </c:pt>
                <c:pt idx="3">
                  <c:v>7.7187500000000009</c:v>
                </c:pt>
                <c:pt idx="4">
                  <c:v>0.15718749999999998</c:v>
                </c:pt>
                <c:pt idx="5">
                  <c:v>6.3125000000000004E-3</c:v>
                </c:pt>
                <c:pt idx="6">
                  <c:v>8.6875</c:v>
                </c:pt>
                <c:pt idx="7">
                  <c:v>1.1187499999999999</c:v>
                </c:pt>
                <c:pt idx="8">
                  <c:v>0.78749999999999998</c:v>
                </c:pt>
                <c:pt idx="9">
                  <c:v>11.5625</c:v>
                </c:pt>
                <c:pt idx="10">
                  <c:v>24.71875</c:v>
                </c:pt>
              </c:numCache>
            </c:numRef>
          </c:val>
        </c:ser>
        <c:ser>
          <c:idx val="1"/>
          <c:order val="1"/>
          <c:tx>
            <c:strRef>
              <c:f>'DNLEU Results'!$C$242</c:f>
              <c:strCache>
                <c:ptCount val="1"/>
                <c:pt idx="0">
                  <c:v>HHISO/Liner Disposal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'DNLEU Results'!$A$243:$A$253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Results'!$C$243:$C$253</c:f>
              <c:numCache>
                <c:formatCode>0.00</c:formatCode>
                <c:ptCount val="11"/>
                <c:pt idx="0">
                  <c:v>3.34375</c:v>
                </c:pt>
                <c:pt idx="1">
                  <c:v>2.1687499999999998E-2</c:v>
                </c:pt>
                <c:pt idx="2">
                  <c:v>24.46875</c:v>
                </c:pt>
                <c:pt idx="3">
                  <c:v>5.6875</c:v>
                </c:pt>
                <c:pt idx="4">
                  <c:v>0.119375</c:v>
                </c:pt>
                <c:pt idx="5">
                  <c:v>4.84375E-3</c:v>
                </c:pt>
                <c:pt idx="6">
                  <c:v>3.21875</c:v>
                </c:pt>
                <c:pt idx="7">
                  <c:v>0.82500000000000007</c:v>
                </c:pt>
                <c:pt idx="8">
                  <c:v>0.54062499999999991</c:v>
                </c:pt>
                <c:pt idx="9">
                  <c:v>3.1218750000000002</c:v>
                </c:pt>
                <c:pt idx="10">
                  <c:v>18.15625</c:v>
                </c:pt>
              </c:numCache>
            </c:numRef>
          </c:val>
        </c:ser>
        <c:ser>
          <c:idx val="2"/>
          <c:order val="2"/>
          <c:tx>
            <c:strRef>
              <c:f>'DNLEU Results'!$D$242</c:f>
              <c:strCache>
                <c:ptCount val="1"/>
                <c:pt idx="0">
                  <c:v>Grouted 4m Box Disposal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'DNLEU Results'!$A$243:$A$253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Results'!$D$243:$D$253</c:f>
              <c:numCache>
                <c:formatCode>0.00</c:formatCode>
                <c:ptCount val="11"/>
                <c:pt idx="0">
                  <c:v>5.4375</c:v>
                </c:pt>
                <c:pt idx="1">
                  <c:v>3.4687500000000003E-2</c:v>
                </c:pt>
                <c:pt idx="2">
                  <c:v>42.8125</c:v>
                </c:pt>
                <c:pt idx="3">
                  <c:v>9.15625</c:v>
                </c:pt>
                <c:pt idx="4">
                  <c:v>0.19093750000000001</c:v>
                </c:pt>
                <c:pt idx="5">
                  <c:v>7.7499999999999999E-3</c:v>
                </c:pt>
                <c:pt idx="6">
                  <c:v>6.78125</c:v>
                </c:pt>
                <c:pt idx="7">
                  <c:v>1.3218749999999999</c:v>
                </c:pt>
                <c:pt idx="8">
                  <c:v>0.88749999999999996</c:v>
                </c:pt>
                <c:pt idx="9">
                  <c:v>9.25</c:v>
                </c:pt>
                <c:pt idx="10">
                  <c:v>29.281249999999996</c:v>
                </c:pt>
              </c:numCache>
            </c:numRef>
          </c:val>
        </c:ser>
        <c:ser>
          <c:idx val="3"/>
          <c:order val="3"/>
          <c:tx>
            <c:strRef>
              <c:f>'DNLEU Results'!$E$242</c:f>
              <c:strCache>
                <c:ptCount val="1"/>
                <c:pt idx="0">
                  <c:v>200l Drum &amp; 4m Box Disposal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'DNLEU Results'!$A$243:$A$253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Results'!$E$243:$E$253</c:f>
              <c:numCache>
                <c:formatCode>0.00</c:formatCode>
                <c:ptCount val="11"/>
                <c:pt idx="0">
                  <c:v>2.5406249999999999</c:v>
                </c:pt>
                <c:pt idx="1">
                  <c:v>1.603125E-2</c:v>
                </c:pt>
                <c:pt idx="2">
                  <c:v>20.9375</c:v>
                </c:pt>
                <c:pt idx="3">
                  <c:v>4.15625</c:v>
                </c:pt>
                <c:pt idx="4">
                  <c:v>8.6874999999999994E-2</c:v>
                </c:pt>
                <c:pt idx="5">
                  <c:v>3.4999999999999996E-3</c:v>
                </c:pt>
                <c:pt idx="6">
                  <c:v>3.84375</c:v>
                </c:pt>
                <c:pt idx="7">
                  <c:v>0.609375</c:v>
                </c:pt>
                <c:pt idx="8">
                  <c:v>0.421875</c:v>
                </c:pt>
                <c:pt idx="9">
                  <c:v>5.15625</c:v>
                </c:pt>
                <c:pt idx="10">
                  <c:v>13.53125</c:v>
                </c:pt>
              </c:numCache>
            </c:numRef>
          </c:val>
        </c:ser>
        <c:ser>
          <c:idx val="4"/>
          <c:order val="4"/>
          <c:tx>
            <c:strRef>
              <c:f>'DNLEU Results'!$F$242</c:f>
              <c:strCache>
                <c:ptCount val="1"/>
                <c:pt idx="0">
                  <c:v>Overpacked LTIS as ILW Disposal 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'DNLEU Results'!$A$243:$A$253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Results'!$F$243:$F$253</c:f>
              <c:numCache>
                <c:formatCode>0.00</c:formatCode>
                <c:ptCount val="11"/>
                <c:pt idx="0">
                  <c:v>6.5625</c:v>
                </c:pt>
                <c:pt idx="1">
                  <c:v>4.1562499999999995E-2</c:v>
                </c:pt>
                <c:pt idx="2">
                  <c:v>51.5625</c:v>
                </c:pt>
                <c:pt idx="3">
                  <c:v>10.96875</c:v>
                </c:pt>
                <c:pt idx="4">
                  <c:v>0.2315625</c:v>
                </c:pt>
                <c:pt idx="5">
                  <c:v>9.3749999999999997E-3</c:v>
                </c:pt>
                <c:pt idx="6">
                  <c:v>8.0625</c:v>
                </c:pt>
                <c:pt idx="7">
                  <c:v>1.5874999999999999</c:v>
                </c:pt>
                <c:pt idx="8">
                  <c:v>1.065625</c:v>
                </c:pt>
                <c:pt idx="9">
                  <c:v>11</c:v>
                </c:pt>
                <c:pt idx="10">
                  <c:v>35.3125</c:v>
                </c:pt>
              </c:numCache>
            </c:numRef>
          </c:val>
        </c:ser>
        <c:marker val="1"/>
        <c:axId val="35257344"/>
        <c:axId val="35267712"/>
      </c:lineChart>
      <c:catAx>
        <c:axId val="35257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50961634746151785"/>
              <c:y val="0.8987023894740430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67712"/>
        <c:crosses val="autoZero"/>
        <c:auto val="1"/>
        <c:lblAlgn val="ctr"/>
        <c:lblOffset val="100"/>
        <c:tickLblSkip val="1"/>
        <c:tickMarkSkip val="1"/>
      </c:catAx>
      <c:valAx>
        <c:axId val="352677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Percenraige of Baseline Net Impact</a:t>
                </a:r>
              </a:p>
            </c:rich>
          </c:tx>
          <c:layout>
            <c:manualLayout>
              <c:xMode val="edge"/>
              <c:yMode val="edge"/>
              <c:x val="8.4936115658809971E-2"/>
              <c:y val="0.17922105191396528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5734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742574257425743"/>
          <c:y val="9.8701298701298706E-2"/>
          <c:w val="0.5363036303630363"/>
          <c:h val="0.124675324675324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590799031477001"/>
          <c:y val="0.24378094647554102"/>
          <c:w val="0.84987893462469721"/>
          <c:h val="0.51741262109094377"/>
        </c:manualLayout>
      </c:layout>
      <c:barChart>
        <c:barDir val="col"/>
        <c:grouping val="clustered"/>
        <c:ser>
          <c:idx val="0"/>
          <c:order val="0"/>
          <c:tx>
            <c:strRef>
              <c:f>'DNLEU Results'!$B$279</c:f>
              <c:strCache>
                <c:ptCount val="1"/>
                <c:pt idx="0">
                  <c:v>DDS1 500l Drum (Baseline)</c:v>
                </c:pt>
              </c:strCache>
            </c:strRef>
          </c:tx>
          <c:spPr>
            <a:solidFill>
              <a:srgbClr val="7CC861"/>
            </a:solidFill>
            <a:ln w="25400">
              <a:noFill/>
            </a:ln>
          </c:spPr>
          <c:cat>
            <c:strRef>
              <c:f>'DNLEU Results'!$A$280:$A$282</c:f>
              <c:strCache>
                <c:ptCount val="3"/>
                <c:pt idx="0">
                  <c:v>Impact of Interim Storage Package </c:v>
                </c:pt>
                <c:pt idx="1">
                  <c:v>Impact of Disposal Package </c:v>
                </c:pt>
                <c:pt idx="2">
                  <c:v>Disposal Impact</c:v>
                </c:pt>
              </c:strCache>
            </c:strRef>
          </c:cat>
          <c:val>
            <c:numRef>
              <c:f>'DNLEU Results'!$B$280:$B$282</c:f>
              <c:numCache>
                <c:formatCode>0.0</c:formatCode>
                <c:ptCount val="3"/>
                <c:pt idx="0">
                  <c:v>1.35</c:v>
                </c:pt>
                <c:pt idx="1">
                  <c:v>30.312499999999996</c:v>
                </c:pt>
                <c:pt idx="2">
                  <c:v>68.125</c:v>
                </c:pt>
              </c:numCache>
            </c:numRef>
          </c:val>
        </c:ser>
        <c:ser>
          <c:idx val="1"/>
          <c:order val="1"/>
          <c:tx>
            <c:strRef>
              <c:f>'DNLEU Results'!$C$279</c:f>
              <c:strCache>
                <c:ptCount val="1"/>
                <c:pt idx="0">
                  <c:v>DDS2 HHISO/Liner</c:v>
                </c:pt>
              </c:strCache>
            </c:strRef>
          </c:tx>
          <c:spPr>
            <a:solidFill>
              <a:srgbClr val="FFB143"/>
            </a:solidFill>
            <a:ln w="25400">
              <a:noFill/>
            </a:ln>
          </c:spPr>
          <c:cat>
            <c:strRef>
              <c:f>'DNLEU Results'!$A$280:$A$282</c:f>
              <c:strCache>
                <c:ptCount val="3"/>
                <c:pt idx="0">
                  <c:v>Impact of Interim Storage Package </c:v>
                </c:pt>
                <c:pt idx="1">
                  <c:v>Impact of Disposal Package </c:v>
                </c:pt>
                <c:pt idx="2">
                  <c:v>Disposal Impact</c:v>
                </c:pt>
              </c:strCache>
            </c:strRef>
          </c:cat>
          <c:val>
            <c:numRef>
              <c:f>'DNLEU Results'!$C$280:$C$282</c:f>
              <c:numCache>
                <c:formatCode>0.0</c:formatCode>
                <c:ptCount val="3"/>
                <c:pt idx="0">
                  <c:v>1.35</c:v>
                </c:pt>
                <c:pt idx="1">
                  <c:v>3.84375</c:v>
                </c:pt>
                <c:pt idx="2">
                  <c:v>54.374999999999993</c:v>
                </c:pt>
              </c:numCache>
            </c:numRef>
          </c:val>
        </c:ser>
        <c:ser>
          <c:idx val="2"/>
          <c:order val="2"/>
          <c:tx>
            <c:strRef>
              <c:f>'DNLEU Results'!$D$279</c:f>
              <c:strCache>
                <c:ptCount val="1"/>
                <c:pt idx="0">
                  <c:v>DDS3 Grouted 4m Box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cat>
            <c:strRef>
              <c:f>'DNLEU Results'!$A$280:$A$282</c:f>
              <c:strCache>
                <c:ptCount val="3"/>
                <c:pt idx="0">
                  <c:v>Impact of Interim Storage Package </c:v>
                </c:pt>
                <c:pt idx="1">
                  <c:v>Impact of Disposal Package </c:v>
                </c:pt>
                <c:pt idx="2">
                  <c:v>Disposal Impact</c:v>
                </c:pt>
              </c:strCache>
            </c:strRef>
          </c:cat>
          <c:val>
            <c:numRef>
              <c:f>'DNLEU Results'!$D$280:$D$282</c:f>
              <c:numCache>
                <c:formatCode>0.0</c:formatCode>
                <c:ptCount val="3"/>
                <c:pt idx="0">
                  <c:v>1.35</c:v>
                </c:pt>
                <c:pt idx="1">
                  <c:v>17.65625</c:v>
                </c:pt>
                <c:pt idx="2">
                  <c:v>86.25</c:v>
                </c:pt>
              </c:numCache>
            </c:numRef>
          </c:val>
        </c:ser>
        <c:ser>
          <c:idx val="3"/>
          <c:order val="3"/>
          <c:tx>
            <c:strRef>
              <c:f>'DNLEU Results'!$E$279</c:f>
              <c:strCache>
                <c:ptCount val="1"/>
                <c:pt idx="0">
                  <c:v>DDS4 200l Drums in 4m Box </c:v>
                </c:pt>
              </c:strCache>
            </c:strRef>
          </c:tx>
          <c:spPr>
            <a:solidFill>
              <a:srgbClr val="9D56AB"/>
            </a:solidFill>
            <a:ln w="25400">
              <a:noFill/>
            </a:ln>
          </c:spPr>
          <c:cat>
            <c:strRef>
              <c:f>'DNLEU Results'!$A$280:$A$282</c:f>
              <c:strCache>
                <c:ptCount val="3"/>
                <c:pt idx="0">
                  <c:v>Impact of Interim Storage Package </c:v>
                </c:pt>
                <c:pt idx="1">
                  <c:v>Impact of Disposal Package </c:v>
                </c:pt>
                <c:pt idx="2">
                  <c:v>Disposal Impact</c:v>
                </c:pt>
              </c:strCache>
            </c:strRef>
          </c:cat>
          <c:val>
            <c:numRef>
              <c:f>'DNLEU Results'!$E$280:$E$282</c:f>
              <c:numCache>
                <c:formatCode>0.0</c:formatCode>
                <c:ptCount val="3"/>
                <c:pt idx="0">
                  <c:v>1.35</c:v>
                </c:pt>
                <c:pt idx="1">
                  <c:v>11.84375</c:v>
                </c:pt>
                <c:pt idx="2">
                  <c:v>38.314375000000005</c:v>
                </c:pt>
              </c:numCache>
            </c:numRef>
          </c:val>
        </c:ser>
        <c:ser>
          <c:idx val="4"/>
          <c:order val="4"/>
          <c:tx>
            <c:strRef>
              <c:f>'DNLEU Results'!$F$279</c:f>
              <c:strCache>
                <c:ptCount val="1"/>
                <c:pt idx="0">
                  <c:v>DDS5 3m3 Drum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cat>
            <c:strRef>
              <c:f>'DNLEU Results'!$A$280:$A$282</c:f>
              <c:strCache>
                <c:ptCount val="3"/>
                <c:pt idx="0">
                  <c:v>Impact of Interim Storage Package </c:v>
                </c:pt>
                <c:pt idx="1">
                  <c:v>Impact of Disposal Package </c:v>
                </c:pt>
                <c:pt idx="2">
                  <c:v>Disposal Impact</c:v>
                </c:pt>
              </c:strCache>
            </c:strRef>
          </c:cat>
          <c:val>
            <c:numRef>
              <c:f>'DNLEU Results'!$F$280:$F$282</c:f>
              <c:numCache>
                <c:formatCode>0.0</c:formatCode>
                <c:ptCount val="3"/>
                <c:pt idx="0">
                  <c:v>1.35</c:v>
                </c:pt>
                <c:pt idx="1">
                  <c:v>6.15625</c:v>
                </c:pt>
                <c:pt idx="2">
                  <c:v>38.889375000000001</c:v>
                </c:pt>
              </c:numCache>
            </c:numRef>
          </c:val>
        </c:ser>
        <c:ser>
          <c:idx val="5"/>
          <c:order val="5"/>
          <c:tx>
            <c:strRef>
              <c:f>'DNLEU Results'!$G$279</c:f>
              <c:strCache>
                <c:ptCount val="1"/>
                <c:pt idx="0">
                  <c:v>DDS6 Overpacked DNLEU as HAW</c:v>
                </c:pt>
              </c:strCache>
            </c:strRef>
          </c:tx>
          <c:spPr>
            <a:pattFill prst="wdUpDiag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GB"/>
                </a:pPr>
                <a:endParaRPr lang="en-US"/>
              </a:p>
            </c:txPr>
            <c:showVal val="1"/>
          </c:dLbls>
          <c:cat>
            <c:strRef>
              <c:f>'DNLEU Results'!$A$280:$A$282</c:f>
              <c:strCache>
                <c:ptCount val="3"/>
                <c:pt idx="0">
                  <c:v>Impact of Interim Storage Package </c:v>
                </c:pt>
                <c:pt idx="1">
                  <c:v>Impact of Disposal Package </c:v>
                </c:pt>
                <c:pt idx="2">
                  <c:v>Disposal Impact</c:v>
                </c:pt>
              </c:strCache>
            </c:strRef>
          </c:cat>
          <c:val>
            <c:numRef>
              <c:f>'DNLEU Results'!$G$280:$G$282</c:f>
              <c:numCache>
                <c:formatCode>0.0</c:formatCode>
                <c:ptCount val="3"/>
                <c:pt idx="0">
                  <c:v>1.7865625000000001</c:v>
                </c:pt>
                <c:pt idx="1">
                  <c:v>20.28125</c:v>
                </c:pt>
                <c:pt idx="2">
                  <c:v>104.375</c:v>
                </c:pt>
              </c:numCache>
            </c:numRef>
          </c:val>
        </c:ser>
        <c:axId val="35321728"/>
        <c:axId val="35414016"/>
      </c:barChart>
      <c:catAx>
        <c:axId val="35321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0"/>
                  <a:t>Product Stages and Processes</a:t>
                </a:r>
              </a:p>
            </c:rich>
          </c:tx>
          <c:layout>
            <c:manualLayout>
              <c:xMode val="edge"/>
              <c:yMode val="edge"/>
              <c:x val="0.40562348286839922"/>
              <c:y val="0.8771331058020477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14016"/>
        <c:crosses val="autoZero"/>
        <c:auto val="1"/>
        <c:lblAlgn val="ctr"/>
        <c:lblOffset val="100"/>
        <c:tickLblSkip val="1"/>
        <c:tickMarkSkip val="1"/>
      </c:catAx>
      <c:valAx>
        <c:axId val="354140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0"/>
                  <a:t>Percentage of Total Baseline Impact</a:t>
                </a:r>
              </a:p>
            </c:rich>
          </c:tx>
          <c:layout>
            <c:manualLayout>
              <c:xMode val="edge"/>
              <c:yMode val="edge"/>
              <c:x val="1.0722908070729155E-2"/>
              <c:y val="0.16375086220024543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2172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666690402609055"/>
          <c:y val="1.7006859211771936E-2"/>
          <c:w val="0.85208506690483987"/>
          <c:h val="0.21768779791068077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n-GB"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430959740347599"/>
          <c:y val="0.20129717496033903"/>
          <c:w val="0.87728525338344121"/>
          <c:h val="0.34208159285080109"/>
        </c:manualLayout>
      </c:layout>
      <c:lineChart>
        <c:grouping val="standard"/>
        <c:ser>
          <c:idx val="0"/>
          <c:order val="0"/>
          <c:tx>
            <c:strRef>
              <c:f>'DNLEU Results'!$B$309</c:f>
              <c:strCache>
                <c:ptCount val="1"/>
                <c:pt idx="0">
                  <c:v>DDS1 500l Drum (Baseline)</c:v>
                </c:pt>
              </c:strCache>
            </c:strRef>
          </c:tx>
          <c:spPr>
            <a:ln w="12700">
              <a:solidFill>
                <a:srgbClr val="7CC861"/>
              </a:solidFill>
              <a:prstDash val="solid"/>
            </a:ln>
          </c:spPr>
          <c:marker>
            <c:symbol val="none"/>
          </c:marker>
          <c:cat>
            <c:strRef>
              <c:f>'DNLEU Results'!$A$310:$A$320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Results'!$B$310:$B$320</c:f>
              <c:numCache>
                <c:formatCode>0.00</c:formatCode>
                <c:ptCount val="11"/>
                <c:pt idx="0">
                  <c:v>4.78125</c:v>
                </c:pt>
                <c:pt idx="1">
                  <c:v>2.9375000000000002E-2</c:v>
                </c:pt>
                <c:pt idx="2">
                  <c:v>40</c:v>
                </c:pt>
                <c:pt idx="3">
                  <c:v>7.6562500000000009</c:v>
                </c:pt>
                <c:pt idx="4">
                  <c:v>0.1575</c:v>
                </c:pt>
                <c:pt idx="5">
                  <c:v>6.3437500000000004E-3</c:v>
                </c:pt>
                <c:pt idx="6">
                  <c:v>8.71875</c:v>
                </c:pt>
                <c:pt idx="7">
                  <c:v>1.1187499999999999</c:v>
                </c:pt>
                <c:pt idx="8">
                  <c:v>0.95</c:v>
                </c:pt>
                <c:pt idx="9">
                  <c:v>11.5625</c:v>
                </c:pt>
                <c:pt idx="10">
                  <c:v>24.90625</c:v>
                </c:pt>
              </c:numCache>
            </c:numRef>
          </c:val>
        </c:ser>
        <c:ser>
          <c:idx val="1"/>
          <c:order val="1"/>
          <c:tx>
            <c:strRef>
              <c:f>'DNLEU Results'!$C$309</c:f>
              <c:strCache>
                <c:ptCount val="1"/>
                <c:pt idx="0">
                  <c:v>DDS2 HHISO/Liner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'DNLEU Results'!$A$310:$A$320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Results'!$C$310:$C$320</c:f>
              <c:numCache>
                <c:formatCode>0.00</c:formatCode>
                <c:ptCount val="11"/>
                <c:pt idx="0">
                  <c:v>3.34375</c:v>
                </c:pt>
                <c:pt idx="1">
                  <c:v>2.1531250000000002E-2</c:v>
                </c:pt>
                <c:pt idx="2">
                  <c:v>24.46875</c:v>
                </c:pt>
                <c:pt idx="3">
                  <c:v>5.65625</c:v>
                </c:pt>
                <c:pt idx="4">
                  <c:v>0.119375</c:v>
                </c:pt>
                <c:pt idx="5">
                  <c:v>4.84375E-3</c:v>
                </c:pt>
                <c:pt idx="6">
                  <c:v>3.21875</c:v>
                </c:pt>
                <c:pt idx="7">
                  <c:v>0.82500000000000007</c:v>
                </c:pt>
                <c:pt idx="8">
                  <c:v>0.70625000000000004</c:v>
                </c:pt>
                <c:pt idx="9">
                  <c:v>3.1218750000000002</c:v>
                </c:pt>
                <c:pt idx="10">
                  <c:v>18.15625</c:v>
                </c:pt>
              </c:numCache>
            </c:numRef>
          </c:val>
        </c:ser>
        <c:ser>
          <c:idx val="2"/>
          <c:order val="2"/>
          <c:tx>
            <c:strRef>
              <c:f>'DNLEU Results'!$D$309</c:f>
              <c:strCache>
                <c:ptCount val="1"/>
                <c:pt idx="0">
                  <c:v>DDS3 Grouted 4m Box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'DNLEU Results'!$A$310:$A$320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Results'!$D$310:$D$320</c:f>
              <c:numCache>
                <c:formatCode>0.00</c:formatCode>
                <c:ptCount val="11"/>
                <c:pt idx="0">
                  <c:v>5.46875</c:v>
                </c:pt>
                <c:pt idx="1">
                  <c:v>3.4687500000000003E-2</c:v>
                </c:pt>
                <c:pt idx="2">
                  <c:v>42.8125</c:v>
                </c:pt>
                <c:pt idx="3">
                  <c:v>9.09375</c:v>
                </c:pt>
                <c:pt idx="4">
                  <c:v>0.19125</c:v>
                </c:pt>
                <c:pt idx="5">
                  <c:v>7.7499999999999999E-3</c:v>
                </c:pt>
                <c:pt idx="6">
                  <c:v>6.8125000000000009</c:v>
                </c:pt>
                <c:pt idx="7">
                  <c:v>1.3218749999999999</c:v>
                </c:pt>
                <c:pt idx="8">
                  <c:v>1.0531250000000001</c:v>
                </c:pt>
                <c:pt idx="9">
                  <c:v>9.25</c:v>
                </c:pt>
                <c:pt idx="10">
                  <c:v>29.40625</c:v>
                </c:pt>
              </c:numCache>
            </c:numRef>
          </c:val>
        </c:ser>
        <c:ser>
          <c:idx val="3"/>
          <c:order val="3"/>
          <c:tx>
            <c:strRef>
              <c:f>'DNLEU Results'!$E$309</c:f>
              <c:strCache>
                <c:ptCount val="1"/>
                <c:pt idx="0">
                  <c:v>DDS4 200l Drums in 4m Box</c:v>
                </c:pt>
              </c:strCache>
            </c:strRef>
          </c:tx>
          <c:spPr>
            <a:ln w="12700">
              <a:solidFill>
                <a:srgbClr val="9D56AB"/>
              </a:solidFill>
              <a:prstDash val="solid"/>
            </a:ln>
          </c:spPr>
          <c:marker>
            <c:symbol val="none"/>
          </c:marker>
          <c:cat>
            <c:strRef>
              <c:f>'DNLEU Results'!$A$310:$A$320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Results'!$E$310:$E$320</c:f>
              <c:numCache>
                <c:formatCode>0.00</c:formatCode>
                <c:ptCount val="11"/>
                <c:pt idx="0">
                  <c:v>2.5718749999999999</c:v>
                </c:pt>
                <c:pt idx="1">
                  <c:v>1.60625E-2</c:v>
                </c:pt>
                <c:pt idx="2">
                  <c:v>20.875</c:v>
                </c:pt>
                <c:pt idx="3">
                  <c:v>4.125</c:v>
                </c:pt>
                <c:pt idx="4">
                  <c:v>8.7187500000000001E-2</c:v>
                </c:pt>
                <c:pt idx="5">
                  <c:v>3.5312499999999997E-3</c:v>
                </c:pt>
                <c:pt idx="6">
                  <c:v>3.84375</c:v>
                </c:pt>
                <c:pt idx="7">
                  <c:v>0.609375</c:v>
                </c:pt>
                <c:pt idx="8">
                  <c:v>0.58750000000000002</c:v>
                </c:pt>
                <c:pt idx="9">
                  <c:v>5.15625</c:v>
                </c:pt>
                <c:pt idx="10">
                  <c:v>13.625000000000002</c:v>
                </c:pt>
              </c:numCache>
            </c:numRef>
          </c:val>
        </c:ser>
        <c:ser>
          <c:idx val="4"/>
          <c:order val="4"/>
          <c:tx>
            <c:strRef>
              <c:f>'DNLEU Results'!$F$309</c:f>
              <c:strCache>
                <c:ptCount val="1"/>
                <c:pt idx="0">
                  <c:v>DDS5 3m3 Drum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'DNLEU Results'!$A$310:$A$320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Results'!$F$310:$F$320</c:f>
              <c:numCache>
                <c:formatCode>0.00</c:formatCode>
                <c:ptCount val="11"/>
                <c:pt idx="0">
                  <c:v>2.4031250000000002</c:v>
                </c:pt>
                <c:pt idx="1">
                  <c:v>1.5625E-2</c:v>
                </c:pt>
                <c:pt idx="2">
                  <c:v>18.9375</c:v>
                </c:pt>
                <c:pt idx="3">
                  <c:v>4.1875</c:v>
                </c:pt>
                <c:pt idx="4">
                  <c:v>8.4999999999999992E-2</c:v>
                </c:pt>
                <c:pt idx="5">
                  <c:v>3.4687500000000005E-3</c:v>
                </c:pt>
                <c:pt idx="6">
                  <c:v>2.6968749999999999</c:v>
                </c:pt>
                <c:pt idx="7">
                  <c:v>0.6</c:v>
                </c:pt>
                <c:pt idx="8">
                  <c:v>0.5625</c:v>
                </c:pt>
                <c:pt idx="9">
                  <c:v>3.6875</c:v>
                </c:pt>
                <c:pt idx="10">
                  <c:v>13.1875</c:v>
                </c:pt>
              </c:numCache>
            </c:numRef>
          </c:val>
        </c:ser>
        <c:ser>
          <c:idx val="5"/>
          <c:order val="5"/>
          <c:tx>
            <c:strRef>
              <c:f>'DNLEU Results'!$G$309</c:f>
              <c:strCache>
                <c:ptCount val="1"/>
                <c:pt idx="0">
                  <c:v>DDS6 Overpacked DNLEU as HAW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strRef>
              <c:f>'DNLEU Results'!$A$310:$A$320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Results'!$G$310:$G$320</c:f>
              <c:numCache>
                <c:formatCode>0.00</c:formatCode>
                <c:ptCount val="11"/>
                <c:pt idx="0">
                  <c:v>6.5625</c:v>
                </c:pt>
                <c:pt idx="1">
                  <c:v>4.1562499999999995E-2</c:v>
                </c:pt>
                <c:pt idx="2">
                  <c:v>51.5625</c:v>
                </c:pt>
                <c:pt idx="3">
                  <c:v>10.96875</c:v>
                </c:pt>
                <c:pt idx="4">
                  <c:v>0.2315625</c:v>
                </c:pt>
                <c:pt idx="5">
                  <c:v>9.3749999999999997E-3</c:v>
                </c:pt>
                <c:pt idx="6">
                  <c:v>8.0625</c:v>
                </c:pt>
                <c:pt idx="7">
                  <c:v>1.5874999999999999</c:v>
                </c:pt>
                <c:pt idx="8">
                  <c:v>1.065625</c:v>
                </c:pt>
                <c:pt idx="9">
                  <c:v>11</c:v>
                </c:pt>
                <c:pt idx="10">
                  <c:v>35.3125</c:v>
                </c:pt>
              </c:numCache>
            </c:numRef>
          </c:val>
        </c:ser>
        <c:marker val="1"/>
        <c:axId val="35467264"/>
        <c:axId val="35469184"/>
      </c:lineChart>
      <c:catAx>
        <c:axId val="354672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0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69407296210275882"/>
              <c:y val="0.8497298932734272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69184"/>
        <c:crosses val="autoZero"/>
        <c:auto val="1"/>
        <c:lblAlgn val="ctr"/>
        <c:lblOffset val="100"/>
        <c:tickLblSkip val="1"/>
        <c:tickMarkSkip val="1"/>
      </c:catAx>
      <c:valAx>
        <c:axId val="354691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0"/>
                  <a:t>Percentage of Total  Baseline  Impact</a:t>
                </a:r>
              </a:p>
            </c:rich>
          </c:tx>
          <c:layout>
            <c:manualLayout>
              <c:xMode val="edge"/>
              <c:yMode val="edge"/>
              <c:x val="2.1184312392605602E-3"/>
              <c:y val="0.2613604423366387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6726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7450628366247758E-2"/>
          <c:y val="1.4409221902017291E-2"/>
          <c:w val="0.91202872531418311"/>
          <c:h val="0.16426512968299711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n-GB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4609060836759802"/>
          <c:y val="0.20499962463447602"/>
          <c:w val="0.83333375195601389"/>
          <c:h val="0.34999935913203301"/>
        </c:manualLayout>
      </c:layout>
      <c:lineChart>
        <c:grouping val="standard"/>
        <c:ser>
          <c:idx val="0"/>
          <c:order val="0"/>
          <c:tx>
            <c:strRef>
              <c:f>'DNLEU Results'!$B$290</c:f>
              <c:strCache>
                <c:ptCount val="1"/>
                <c:pt idx="0">
                  <c:v>DDS1 500l Drum (Baseline) </c:v>
                </c:pt>
              </c:strCache>
            </c:strRef>
          </c:tx>
          <c:spPr>
            <a:ln w="12700">
              <a:solidFill>
                <a:srgbClr val="7CC861"/>
              </a:solidFill>
              <a:prstDash val="solid"/>
            </a:ln>
          </c:spPr>
          <c:marker>
            <c:symbol val="none"/>
          </c:marker>
          <c:cat>
            <c:strRef>
              <c:f>'DNLEU Results'!$A$291:$A$301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Results'!$B$291:$B$301</c:f>
              <c:numCache>
                <c:formatCode>General</c:formatCode>
                <c:ptCount val="11"/>
                <c:pt idx="0" formatCode="0.00E+00">
                  <c:v>37700</c:v>
                </c:pt>
                <c:pt idx="1">
                  <c:v>234</c:v>
                </c:pt>
                <c:pt idx="2" formatCode="0.00E+00">
                  <c:v>333000</c:v>
                </c:pt>
                <c:pt idx="3" formatCode="0.00E+00">
                  <c:v>61800</c:v>
                </c:pt>
                <c:pt idx="4" formatCode="0.00E+00">
                  <c:v>1260</c:v>
                </c:pt>
                <c:pt idx="5">
                  <c:v>50.6</c:v>
                </c:pt>
                <c:pt idx="6" formatCode="0.00E+00">
                  <c:v>69500</c:v>
                </c:pt>
                <c:pt idx="7" formatCode="0.00E+00">
                  <c:v>8940</c:v>
                </c:pt>
                <c:pt idx="8" formatCode="0.00E+00">
                  <c:v>6290</c:v>
                </c:pt>
                <c:pt idx="9" formatCode="0.00E+00">
                  <c:v>185000</c:v>
                </c:pt>
                <c:pt idx="10" formatCode="0.00E+00">
                  <c:v>395000</c:v>
                </c:pt>
              </c:numCache>
            </c:numRef>
          </c:val>
        </c:ser>
        <c:ser>
          <c:idx val="1"/>
          <c:order val="1"/>
          <c:tx>
            <c:strRef>
              <c:f>'DNLEU Results'!$C$290</c:f>
              <c:strCache>
                <c:ptCount val="1"/>
                <c:pt idx="0">
                  <c:v>DDS2 HHISO/Liner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'DNLEU Results'!$A$291:$A$301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Results'!$C$291:$C$301</c:f>
              <c:numCache>
                <c:formatCode>0.00E+00</c:formatCode>
                <c:ptCount val="11"/>
                <c:pt idx="0">
                  <c:v>26700</c:v>
                </c:pt>
                <c:pt idx="1">
                  <c:v>172</c:v>
                </c:pt>
                <c:pt idx="2">
                  <c:v>196000</c:v>
                </c:pt>
                <c:pt idx="3">
                  <c:v>45100</c:v>
                </c:pt>
                <c:pt idx="4">
                  <c:v>954</c:v>
                </c:pt>
                <c:pt idx="5">
                  <c:v>38.799999999999997</c:v>
                </c:pt>
                <c:pt idx="6">
                  <c:v>25700</c:v>
                </c:pt>
                <c:pt idx="7">
                  <c:v>6600</c:v>
                </c:pt>
                <c:pt idx="8">
                  <c:v>5650</c:v>
                </c:pt>
                <c:pt idx="9">
                  <c:v>49900</c:v>
                </c:pt>
                <c:pt idx="10">
                  <c:v>291000</c:v>
                </c:pt>
              </c:numCache>
            </c:numRef>
          </c:val>
        </c:ser>
        <c:ser>
          <c:idx val="2"/>
          <c:order val="2"/>
          <c:tx>
            <c:strRef>
              <c:f>'DNLEU Results'!$D$290</c:f>
              <c:strCache>
                <c:ptCount val="1"/>
                <c:pt idx="0">
                  <c:v>DDS3 Grouted 4m Box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'DNLEU Results'!$A$291:$A$301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Results'!$D$291:$D$301</c:f>
              <c:numCache>
                <c:formatCode>0.00E+00</c:formatCode>
                <c:ptCount val="11"/>
                <c:pt idx="0">
                  <c:v>43800</c:v>
                </c:pt>
                <c:pt idx="1">
                  <c:v>277</c:v>
                </c:pt>
                <c:pt idx="2">
                  <c:v>343000</c:v>
                </c:pt>
                <c:pt idx="3">
                  <c:v>72800</c:v>
                </c:pt>
                <c:pt idx="4">
                  <c:v>1530</c:v>
                </c:pt>
                <c:pt idx="5">
                  <c:v>62.1</c:v>
                </c:pt>
                <c:pt idx="6">
                  <c:v>54500</c:v>
                </c:pt>
                <c:pt idx="7">
                  <c:v>10600</c:v>
                </c:pt>
                <c:pt idx="8">
                  <c:v>8420</c:v>
                </c:pt>
                <c:pt idx="9">
                  <c:v>148000</c:v>
                </c:pt>
                <c:pt idx="10">
                  <c:v>470000</c:v>
                </c:pt>
              </c:numCache>
            </c:numRef>
          </c:val>
        </c:ser>
        <c:ser>
          <c:idx val="3"/>
          <c:order val="3"/>
          <c:tx>
            <c:strRef>
              <c:f>'DNLEU Results'!$E$290</c:f>
              <c:strCache>
                <c:ptCount val="1"/>
                <c:pt idx="0">
                  <c:v>DDS4 200l Drums in 4m Box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'DNLEU Results'!$A$291:$A$301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Results'!$E$291:$E$301</c:f>
              <c:numCache>
                <c:formatCode>0.00E+00</c:formatCode>
                <c:ptCount val="11"/>
                <c:pt idx="0">
                  <c:v>20600</c:v>
                </c:pt>
                <c:pt idx="1">
                  <c:v>128</c:v>
                </c:pt>
                <c:pt idx="2">
                  <c:v>167000</c:v>
                </c:pt>
                <c:pt idx="3">
                  <c:v>33000</c:v>
                </c:pt>
                <c:pt idx="4">
                  <c:v>696</c:v>
                </c:pt>
                <c:pt idx="5">
                  <c:v>28.2</c:v>
                </c:pt>
                <c:pt idx="6">
                  <c:v>30800</c:v>
                </c:pt>
                <c:pt idx="7">
                  <c:v>4870</c:v>
                </c:pt>
                <c:pt idx="8">
                  <c:v>4710</c:v>
                </c:pt>
                <c:pt idx="9">
                  <c:v>82700</c:v>
                </c:pt>
                <c:pt idx="10">
                  <c:v>218000</c:v>
                </c:pt>
              </c:numCache>
            </c:numRef>
          </c:val>
        </c:ser>
        <c:ser>
          <c:idx val="4"/>
          <c:order val="4"/>
          <c:tx>
            <c:strRef>
              <c:f>'DNLEU Results'!$F$290</c:f>
              <c:strCache>
                <c:ptCount val="1"/>
                <c:pt idx="0">
                  <c:v>DDS5 3m3 Drum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'DNLEU Results'!$A$291:$A$301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Results'!$F$291:$F$301</c:f>
              <c:numCache>
                <c:formatCode>0.00E+00</c:formatCode>
                <c:ptCount val="11"/>
                <c:pt idx="0">
                  <c:v>19200</c:v>
                </c:pt>
                <c:pt idx="1">
                  <c:v>125</c:v>
                </c:pt>
                <c:pt idx="2">
                  <c:v>151000</c:v>
                </c:pt>
                <c:pt idx="3">
                  <c:v>33600</c:v>
                </c:pt>
                <c:pt idx="4">
                  <c:v>681</c:v>
                </c:pt>
                <c:pt idx="5">
                  <c:v>27.7</c:v>
                </c:pt>
                <c:pt idx="6">
                  <c:v>21600</c:v>
                </c:pt>
                <c:pt idx="7">
                  <c:v>4790</c:v>
                </c:pt>
                <c:pt idx="8">
                  <c:v>4510</c:v>
                </c:pt>
                <c:pt idx="9">
                  <c:v>59100</c:v>
                </c:pt>
                <c:pt idx="10">
                  <c:v>211000</c:v>
                </c:pt>
              </c:numCache>
            </c:numRef>
          </c:val>
        </c:ser>
        <c:ser>
          <c:idx val="5"/>
          <c:order val="5"/>
          <c:tx>
            <c:strRef>
              <c:f>'DNLEU Results'!$G$290</c:f>
              <c:strCache>
                <c:ptCount val="1"/>
                <c:pt idx="0">
                  <c:v>DDS6 Overpacked LTIS as HAW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'DNLEU Results'!$A$291:$A$301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Results'!$G$291:$G$301</c:f>
              <c:numCache>
                <c:formatCode>0.00E+00</c:formatCode>
                <c:ptCount val="11"/>
                <c:pt idx="0">
                  <c:v>53000</c:v>
                </c:pt>
                <c:pt idx="1">
                  <c:v>334</c:v>
                </c:pt>
                <c:pt idx="2">
                  <c:v>412000</c:v>
                </c:pt>
                <c:pt idx="3">
                  <c:v>87400</c:v>
                </c:pt>
                <c:pt idx="4">
                  <c:v>1860</c:v>
                </c:pt>
                <c:pt idx="5">
                  <c:v>75.2</c:v>
                </c:pt>
                <c:pt idx="6">
                  <c:v>64800</c:v>
                </c:pt>
                <c:pt idx="7">
                  <c:v>12700</c:v>
                </c:pt>
                <c:pt idx="8">
                  <c:v>8520</c:v>
                </c:pt>
                <c:pt idx="9">
                  <c:v>176000</c:v>
                </c:pt>
                <c:pt idx="10">
                  <c:v>567000</c:v>
                </c:pt>
              </c:numCache>
            </c:numRef>
          </c:val>
        </c:ser>
        <c:marker val="1"/>
        <c:axId val="35526528"/>
        <c:axId val="35536896"/>
      </c:lineChart>
      <c:catAx>
        <c:axId val="355265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0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59154247023469897"/>
              <c:y val="0.9028041338582677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36896"/>
        <c:crosses val="autoZero"/>
        <c:auto val="1"/>
        <c:lblAlgn val="ctr"/>
        <c:lblOffset val="100"/>
        <c:tickLblSkip val="1"/>
        <c:tickMarkSkip val="1"/>
      </c:catAx>
      <c:valAx>
        <c:axId val="355368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0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6.5495073985317055E-3"/>
              <c:y val="0.35951935695538056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2652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721534634888036"/>
          <c:y val="2.4922194199627018E-2"/>
          <c:w val="0.73056122372395571"/>
          <c:h val="0.14953316519776211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n-GB"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0.11415512388172001"/>
          <c:y val="0.16260154532999399"/>
          <c:w val="0.86301273654580413"/>
          <c:h val="0.39430874742523608"/>
        </c:manualLayout>
      </c:layout>
      <c:barChart>
        <c:barDir val="col"/>
        <c:grouping val="clustered"/>
        <c:ser>
          <c:idx val="0"/>
          <c:order val="0"/>
          <c:tx>
            <c:strRef>
              <c:f>'DNLEU Results'!$B$58</c:f>
              <c:strCache>
                <c:ptCount val="1"/>
                <c:pt idx="0">
                  <c:v>Baseline Disposal (%)</c:v>
                </c:pt>
              </c:strCache>
            </c:strRef>
          </c:tx>
          <c:spPr>
            <a:solidFill>
              <a:srgbClr val="7CC861"/>
            </a:solidFill>
            <a:ln w="25400">
              <a:noFill/>
            </a:ln>
          </c:spPr>
          <c:cat>
            <c:strRef>
              <c:f>'DNLEU Results'!$A$59:$A$73</c:f>
              <c:strCache>
                <c:ptCount val="15"/>
                <c:pt idx="0">
                  <c:v>UUK DV70s</c:v>
                </c:pt>
                <c:pt idx="1">
                  <c:v>CNS(48) DV70s</c:v>
                </c:pt>
                <c:pt idx="2">
                  <c:v>CNS(236) DV70s</c:v>
                </c:pt>
                <c:pt idx="3">
                  <c:v>CNS(MDU) DV70s</c:v>
                </c:pt>
                <c:pt idx="4">
                  <c:v>Sella (TPU) DV70s</c:v>
                </c:pt>
                <c:pt idx="5">
                  <c:v>Misc (UO3) DV70s</c:v>
                </c:pt>
                <c:pt idx="6">
                  <c:v>500L Drums</c:v>
                </c:pt>
                <c:pt idx="7">
                  <c:v>Drum Stillages</c:v>
                </c:pt>
                <c:pt idx="8">
                  <c:v>UUK Disposal</c:v>
                </c:pt>
                <c:pt idx="9">
                  <c:v>CNS(48) Disposal</c:v>
                </c:pt>
                <c:pt idx="10">
                  <c:v>CNS(236) Disposal</c:v>
                </c:pt>
                <c:pt idx="11">
                  <c:v>CNS(MDU) Disposal</c:v>
                </c:pt>
                <c:pt idx="12">
                  <c:v>Sella (TPU) Disposal</c:v>
                </c:pt>
                <c:pt idx="13">
                  <c:v>Misc (UO3) Disposal</c:v>
                </c:pt>
                <c:pt idx="14">
                  <c:v>DV70 Disposal</c:v>
                </c:pt>
              </c:strCache>
            </c:strRef>
          </c:cat>
          <c:val>
            <c:numRef>
              <c:f>'DNLEU Results'!$B$59:$B$73</c:f>
              <c:numCache>
                <c:formatCode>0.00</c:formatCode>
                <c:ptCount val="15"/>
                <c:pt idx="0">
                  <c:v>0.83125000000000004</c:v>
                </c:pt>
                <c:pt idx="1">
                  <c:v>0.15562499999999999</c:v>
                </c:pt>
                <c:pt idx="2">
                  <c:v>5.1874999999999998E-2</c:v>
                </c:pt>
                <c:pt idx="3">
                  <c:v>0.25343750000000004</c:v>
                </c:pt>
                <c:pt idx="4">
                  <c:v>4.2187500000000003E-2</c:v>
                </c:pt>
                <c:pt idx="5">
                  <c:v>1.6906250000000001E-2</c:v>
                </c:pt>
                <c:pt idx="6">
                  <c:v>10.4375</c:v>
                </c:pt>
                <c:pt idx="7">
                  <c:v>20.0625</c:v>
                </c:pt>
                <c:pt idx="8">
                  <c:v>41.875</c:v>
                </c:pt>
                <c:pt idx="9">
                  <c:v>7.8437499999999991</c:v>
                </c:pt>
                <c:pt idx="10">
                  <c:v>2.609375</c:v>
                </c:pt>
                <c:pt idx="11">
                  <c:v>12.75</c:v>
                </c:pt>
                <c:pt idx="12">
                  <c:v>2.1281250000000003</c:v>
                </c:pt>
                <c:pt idx="13">
                  <c:v>0.85000000000000009</c:v>
                </c:pt>
                <c:pt idx="14">
                  <c:v>0.176875</c:v>
                </c:pt>
              </c:numCache>
            </c:numRef>
          </c:val>
        </c:ser>
        <c:axId val="35544064"/>
        <c:axId val="35558528"/>
      </c:barChart>
      <c:catAx>
        <c:axId val="35544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0"/>
                  <a:t>Product Stages and Processes</a:t>
                </a:r>
              </a:p>
            </c:rich>
          </c:tx>
          <c:layout>
            <c:manualLayout>
              <c:xMode val="edge"/>
              <c:yMode val="edge"/>
              <c:x val="0.39655261655167356"/>
              <c:y val="0.8980739156952639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58528"/>
        <c:crosses val="autoZero"/>
        <c:auto val="1"/>
        <c:lblAlgn val="ctr"/>
        <c:lblOffset val="100"/>
        <c:tickLblSkip val="1"/>
        <c:tickMarkSkip val="1"/>
      </c:catAx>
      <c:valAx>
        <c:axId val="355585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0"/>
                  <a:t>Percentage of Total  Baseline Impact</a:t>
                </a:r>
              </a:p>
            </c:rich>
          </c:tx>
          <c:layout>
            <c:manualLayout>
              <c:xMode val="edge"/>
              <c:yMode val="edge"/>
              <c:x val="3.0651348222190792E-2"/>
              <c:y val="0.1377414115663740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4406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0.11392393327653903"/>
          <c:y val="0.131034317288965"/>
          <c:w val="0.86286830944637805"/>
          <c:h val="0.72068874508930703"/>
        </c:manualLayout>
      </c:layout>
      <c:barChart>
        <c:barDir val="col"/>
        <c:grouping val="clustered"/>
        <c:ser>
          <c:idx val="0"/>
          <c:order val="0"/>
          <c:tx>
            <c:strRef>
              <c:f>'General metal graphs'!$C$269</c:f>
              <c:strCache>
                <c:ptCount val="1"/>
                <c:pt idx="0">
                  <c:v>ILW (2013 UKRWI)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graphs'!$B$270:$B$280</c:f>
              <c:numCache>
                <c:formatCode>General</c:formatCode>
                <c:ptCount val="11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  <c:pt idx="6">
                  <c:v>2080</c:v>
                </c:pt>
                <c:pt idx="7">
                  <c:v>2090</c:v>
                </c:pt>
                <c:pt idx="8">
                  <c:v>2100</c:v>
                </c:pt>
                <c:pt idx="9">
                  <c:v>2110</c:v>
                </c:pt>
                <c:pt idx="10">
                  <c:v>2120</c:v>
                </c:pt>
              </c:numCache>
            </c:numRef>
          </c:cat>
          <c:val>
            <c:numRef>
              <c:f>'General metal graphs'!$C$270:$C$280</c:f>
              <c:numCache>
                <c:formatCode>General</c:formatCode>
                <c:ptCount val="11"/>
                <c:pt idx="0">
                  <c:v>14250</c:v>
                </c:pt>
                <c:pt idx="1">
                  <c:v>13600</c:v>
                </c:pt>
                <c:pt idx="2">
                  <c:v>14700</c:v>
                </c:pt>
                <c:pt idx="3">
                  <c:v>17550</c:v>
                </c:pt>
                <c:pt idx="4">
                  <c:v>17550</c:v>
                </c:pt>
                <c:pt idx="5">
                  <c:v>20500</c:v>
                </c:pt>
                <c:pt idx="6">
                  <c:v>20500</c:v>
                </c:pt>
                <c:pt idx="7">
                  <c:v>20500</c:v>
                </c:pt>
                <c:pt idx="8">
                  <c:v>20500</c:v>
                </c:pt>
                <c:pt idx="9">
                  <c:v>15350</c:v>
                </c:pt>
                <c:pt idx="10">
                  <c:v>15350</c:v>
                </c:pt>
              </c:numCache>
            </c:numRef>
          </c:val>
        </c:ser>
        <c:axId val="38504704"/>
        <c:axId val="38506880"/>
      </c:barChart>
      <c:catAx>
        <c:axId val="385047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Decade</a:t>
                </a:r>
              </a:p>
            </c:rich>
          </c:tx>
          <c:layout>
            <c:manualLayout>
              <c:xMode val="edge"/>
              <c:yMode val="edge"/>
              <c:x val="0.51691763894476694"/>
              <c:y val="0.904764091988501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506880"/>
        <c:crosses val="autoZero"/>
        <c:auto val="1"/>
        <c:lblAlgn val="ctr"/>
        <c:lblOffset val="100"/>
        <c:tickLblSkip val="1"/>
        <c:tickMarkSkip val="1"/>
      </c:catAx>
      <c:valAx>
        <c:axId val="385068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Waste Volume (m3)</a:t>
                </a:r>
              </a:p>
            </c:rich>
          </c:tx>
          <c:layout>
            <c:manualLayout>
              <c:xMode val="edge"/>
              <c:yMode val="edge"/>
              <c:x val="3.007529168343008E-2"/>
              <c:y val="0.3359795650543682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50470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2468239564427"/>
          <c:y val="2.3143727292760239E-2"/>
          <c:w val="0.15063520871143377"/>
          <c:h val="5.78593182319006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080523716570001"/>
          <c:y val="0.13899600797462403"/>
          <c:w val="0.85682233026783305"/>
          <c:h val="0.38996102237325209"/>
        </c:manualLayout>
      </c:layout>
      <c:barChart>
        <c:barDir val="col"/>
        <c:grouping val="clustered"/>
        <c:ser>
          <c:idx val="1"/>
          <c:order val="1"/>
          <c:tx>
            <c:strRef>
              <c:f>'DNLEU Results'!$R$55</c:f>
              <c:strCache>
                <c:ptCount val="1"/>
                <c:pt idx="0">
                  <c:v>Package Impact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cat>
            <c:strRef>
              <c:f>'DNLEU Results'!$P$56:$P$66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Results'!$R$56:$R$66</c:f>
              <c:numCache>
                <c:formatCode>0.00E+00</c:formatCode>
                <c:ptCount val="11"/>
                <c:pt idx="0">
                  <c:v>6660</c:v>
                </c:pt>
                <c:pt idx="1">
                  <c:v>32.1</c:v>
                </c:pt>
                <c:pt idx="2">
                  <c:v>96500</c:v>
                </c:pt>
                <c:pt idx="3">
                  <c:v>10500</c:v>
                </c:pt>
                <c:pt idx="4">
                  <c:v>90.2</c:v>
                </c:pt>
                <c:pt idx="5">
                  <c:v>2.88</c:v>
                </c:pt>
                <c:pt idx="6">
                  <c:v>49600</c:v>
                </c:pt>
                <c:pt idx="7">
                  <c:v>1270</c:v>
                </c:pt>
                <c:pt idx="8">
                  <c:v>1320</c:v>
                </c:pt>
                <c:pt idx="9">
                  <c:v>126000</c:v>
                </c:pt>
                <c:pt idx="10">
                  <c:v>52000</c:v>
                </c:pt>
              </c:numCache>
            </c:numRef>
          </c:val>
        </c:ser>
        <c:ser>
          <c:idx val="2"/>
          <c:order val="2"/>
          <c:tx>
            <c:strRef>
              <c:f>'DNLEU Results'!$S$55</c:f>
              <c:strCache>
                <c:ptCount val="1"/>
                <c:pt idx="0">
                  <c:v>Disposal Impact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cat>
            <c:strRef>
              <c:f>'DNLEU Results'!$P$56:$P$66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Results'!$S$56:$S$66</c:f>
              <c:numCache>
                <c:formatCode>General</c:formatCode>
                <c:ptCount val="11"/>
                <c:pt idx="0" formatCode="0.00E+00">
                  <c:v>31700</c:v>
                </c:pt>
                <c:pt idx="1">
                  <c:v>203</c:v>
                </c:pt>
                <c:pt idx="2" formatCode="0.00E+00">
                  <c:v>225000</c:v>
                </c:pt>
                <c:pt idx="3" formatCode="0.00E+00">
                  <c:v>50700</c:v>
                </c:pt>
                <c:pt idx="4" formatCode="0.00E+00">
                  <c:v>1170</c:v>
                </c:pt>
                <c:pt idx="5">
                  <c:v>47.9</c:v>
                </c:pt>
                <c:pt idx="6" formatCode="0.00E+00">
                  <c:v>20200</c:v>
                </c:pt>
                <c:pt idx="7" formatCode="0.00E+00">
                  <c:v>7670</c:v>
                </c:pt>
                <c:pt idx="8" formatCode="0.00E+00">
                  <c:v>6290</c:v>
                </c:pt>
                <c:pt idx="9" formatCode="0.00E+00">
                  <c:v>59100</c:v>
                </c:pt>
                <c:pt idx="10" formatCode="0.00E+00">
                  <c:v>346000</c:v>
                </c:pt>
              </c:numCache>
            </c:numRef>
          </c:val>
        </c:ser>
        <c:axId val="35612928"/>
        <c:axId val="35631872"/>
      </c:barChart>
      <c:lineChart>
        <c:grouping val="standard"/>
        <c:ser>
          <c:idx val="0"/>
          <c:order val="0"/>
          <c:tx>
            <c:strRef>
              <c:f>'DNLEU Results'!$Q$55</c:f>
              <c:strCache>
                <c:ptCount val="1"/>
                <c:pt idx="0">
                  <c:v>Total Impact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'DNLEU Results'!$P$56:$P$66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Results'!$Q$56:$Q$66</c:f>
              <c:numCache>
                <c:formatCode>General</c:formatCode>
                <c:ptCount val="11"/>
                <c:pt idx="0" formatCode="0.00E+00">
                  <c:v>38300</c:v>
                </c:pt>
                <c:pt idx="1">
                  <c:v>235</c:v>
                </c:pt>
                <c:pt idx="2" formatCode="0.00E+00">
                  <c:v>321000</c:v>
                </c:pt>
                <c:pt idx="3" formatCode="0.00E+00">
                  <c:v>61100</c:v>
                </c:pt>
                <c:pt idx="4" formatCode="0.00E+00">
                  <c:v>1260</c:v>
                </c:pt>
                <c:pt idx="5">
                  <c:v>50.8</c:v>
                </c:pt>
                <c:pt idx="6" formatCode="0.00E+00">
                  <c:v>69900</c:v>
                </c:pt>
                <c:pt idx="7" formatCode="0.00E+00">
                  <c:v>8940</c:v>
                </c:pt>
                <c:pt idx="8" formatCode="0.00E+00">
                  <c:v>7610</c:v>
                </c:pt>
                <c:pt idx="9" formatCode="0.00E+00">
                  <c:v>185000</c:v>
                </c:pt>
                <c:pt idx="10" formatCode="0.00E+00">
                  <c:v>398000</c:v>
                </c:pt>
              </c:numCache>
            </c:numRef>
          </c:val>
        </c:ser>
        <c:marker val="1"/>
        <c:axId val="35612928"/>
        <c:axId val="35631872"/>
      </c:lineChart>
      <c:catAx>
        <c:axId val="35612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0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856601532158577"/>
              <c:y val="0.9033940084172770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631872"/>
        <c:crosses val="autoZero"/>
        <c:auto val="1"/>
        <c:lblAlgn val="ctr"/>
        <c:lblOffset val="100"/>
        <c:tickLblSkip val="1"/>
        <c:tickMarkSkip val="1"/>
      </c:catAx>
      <c:valAx>
        <c:axId val="356318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0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9.799925879671231E-3"/>
              <c:y val="0.26255070983957429"/>
            </c:manualLayout>
          </c:layout>
          <c:spPr>
            <a:noFill/>
            <a:ln w="25400">
              <a:noFill/>
            </a:ln>
          </c:spPr>
        </c:title>
        <c:numFmt formatCode="0.0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61292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64345559944207"/>
          <c:y val="2.5000030517615377E-2"/>
          <c:w val="0.59883834264160651"/>
          <c:h val="8.000009765636921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n-GB"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5201863681287834E-2"/>
          <c:y val="0.12741300731007202"/>
          <c:w val="0.89237741434612006"/>
          <c:h val="0.37451702148718302"/>
        </c:manualLayout>
      </c:layout>
      <c:barChart>
        <c:barDir val="col"/>
        <c:grouping val="clustered"/>
        <c:ser>
          <c:idx val="1"/>
          <c:order val="1"/>
          <c:tx>
            <c:strRef>
              <c:f>'DNLEU Results'!$R$68</c:f>
              <c:strCache>
                <c:ptCount val="1"/>
                <c:pt idx="0">
                  <c:v>Package Impact</c:v>
                </c:pt>
              </c:strCache>
            </c:strRef>
          </c:tx>
          <c:spPr>
            <a:pattFill prst="wdUpDiag">
              <a:fgClr>
                <a:srgbClr val="CCFFC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Results'!$P$69:$P$79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Results'!$R$69:$R$79</c:f>
              <c:numCache>
                <c:formatCode>0.00</c:formatCode>
                <c:ptCount val="11"/>
                <c:pt idx="0">
                  <c:v>8.3124999999999991E-2</c:v>
                </c:pt>
                <c:pt idx="1">
                  <c:v>4.0000000000000001E-3</c:v>
                </c:pt>
                <c:pt idx="2">
                  <c:v>12.0625</c:v>
                </c:pt>
                <c:pt idx="3">
                  <c:v>1.309375</c:v>
                </c:pt>
                <c:pt idx="4">
                  <c:v>1.128125E-2</c:v>
                </c:pt>
                <c:pt idx="5">
                  <c:v>3.5937499999999999E-4</c:v>
                </c:pt>
                <c:pt idx="6">
                  <c:v>6.21875</c:v>
                </c:pt>
                <c:pt idx="7">
                  <c:v>0.15843750000000001</c:v>
                </c:pt>
                <c:pt idx="8">
                  <c:v>0.16500000000000001</c:v>
                </c:pt>
                <c:pt idx="9">
                  <c:v>7.875</c:v>
                </c:pt>
                <c:pt idx="10">
                  <c:v>3.25</c:v>
                </c:pt>
              </c:numCache>
            </c:numRef>
          </c:val>
        </c:ser>
        <c:ser>
          <c:idx val="2"/>
          <c:order val="2"/>
          <c:tx>
            <c:strRef>
              <c:f>'DNLEU Results'!$S$68</c:f>
              <c:strCache>
                <c:ptCount val="1"/>
                <c:pt idx="0">
                  <c:v>Disposal Impact</c:v>
                </c:pt>
              </c:strCache>
            </c:strRef>
          </c:tx>
          <c:spPr>
            <a:pattFill prst="wdDn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Results'!$P$69:$P$79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Results'!$S$69:$S$79</c:f>
              <c:numCache>
                <c:formatCode>0.00</c:formatCode>
                <c:ptCount val="11"/>
                <c:pt idx="0">
                  <c:v>3.96875</c:v>
                </c:pt>
                <c:pt idx="1">
                  <c:v>2.5375000000000002E-2</c:v>
                </c:pt>
                <c:pt idx="2">
                  <c:v>28.0625</c:v>
                </c:pt>
                <c:pt idx="3">
                  <c:v>6.3437499999999991</c:v>
                </c:pt>
                <c:pt idx="4">
                  <c:v>0.14624999999999999</c:v>
                </c:pt>
                <c:pt idx="5">
                  <c:v>6.0000000000000001E-3</c:v>
                </c:pt>
                <c:pt idx="6">
                  <c:v>2.5281250000000002</c:v>
                </c:pt>
                <c:pt idx="7">
                  <c:v>0.95937499999999998</c:v>
                </c:pt>
                <c:pt idx="8">
                  <c:v>0.78749999999999998</c:v>
                </c:pt>
                <c:pt idx="9">
                  <c:v>3.6875</c:v>
                </c:pt>
                <c:pt idx="10">
                  <c:v>21.65625</c:v>
                </c:pt>
              </c:numCache>
            </c:numRef>
          </c:val>
        </c:ser>
        <c:axId val="35665792"/>
        <c:axId val="35676544"/>
      </c:barChart>
      <c:lineChart>
        <c:grouping val="standard"/>
        <c:ser>
          <c:idx val="0"/>
          <c:order val="0"/>
          <c:tx>
            <c:strRef>
              <c:f>'DNLEU Results'!$Q$68</c:f>
              <c:strCache>
                <c:ptCount val="1"/>
                <c:pt idx="0">
                  <c:v>Total Impact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'DNLEU Results'!$P$69:$P$79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Results'!$Q$69:$Q$79</c:f>
              <c:numCache>
                <c:formatCode>0.00</c:formatCode>
                <c:ptCount val="11"/>
                <c:pt idx="0">
                  <c:v>4.78125</c:v>
                </c:pt>
                <c:pt idx="1">
                  <c:v>2.9375000000000002E-2</c:v>
                </c:pt>
                <c:pt idx="2">
                  <c:v>40</c:v>
                </c:pt>
                <c:pt idx="3">
                  <c:v>7.6562500000000009</c:v>
                </c:pt>
                <c:pt idx="4">
                  <c:v>0.1575</c:v>
                </c:pt>
                <c:pt idx="5">
                  <c:v>6.3437500000000004E-3</c:v>
                </c:pt>
                <c:pt idx="6">
                  <c:v>8.71875</c:v>
                </c:pt>
                <c:pt idx="7">
                  <c:v>1.1187499999999999</c:v>
                </c:pt>
                <c:pt idx="8">
                  <c:v>0.95</c:v>
                </c:pt>
                <c:pt idx="9">
                  <c:v>11.5625</c:v>
                </c:pt>
                <c:pt idx="10">
                  <c:v>24.90625</c:v>
                </c:pt>
              </c:numCache>
            </c:numRef>
          </c:val>
        </c:ser>
        <c:marker val="1"/>
        <c:axId val="35665792"/>
        <c:axId val="35676544"/>
      </c:lineChart>
      <c:catAx>
        <c:axId val="356657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0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7036358827239616"/>
              <c:y val="0.9056122564832067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676544"/>
        <c:crosses val="autoZero"/>
        <c:auto val="1"/>
        <c:lblAlgn val="ctr"/>
        <c:lblOffset val="100"/>
        <c:tickLblSkip val="1"/>
        <c:tickMarkSkip val="1"/>
      </c:catAx>
      <c:valAx>
        <c:axId val="356765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0"/>
                  <a:t>Percentage of Total  Baseline Impact</a:t>
                </a:r>
              </a:p>
            </c:rich>
          </c:tx>
          <c:layout>
            <c:manualLayout>
              <c:xMode val="edge"/>
              <c:yMode val="edge"/>
              <c:x val="1.4937028220309671E-2"/>
              <c:y val="0.2246705802995999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66579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310679611650486"/>
          <c:y val="3.8168033774734052E-2"/>
          <c:w val="0.6310679611650486"/>
          <c:h val="8.142513871943264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n-GB"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- LTIS, HHISO/Liner and Disposal Impacts</a:t>
            </a:r>
          </a:p>
        </c:rich>
      </c:tx>
      <c:layout>
        <c:manualLayout>
          <c:xMode val="edge"/>
          <c:yMode val="edge"/>
          <c:x val="0.1772640166967081"/>
          <c:y val="3.225800951215204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264364655070101"/>
          <c:y val="0.12925148601674402"/>
          <c:w val="0.86436757353190796"/>
          <c:h val="0.51700594406697697"/>
        </c:manualLayout>
      </c:layout>
      <c:barChart>
        <c:barDir val="col"/>
        <c:grouping val="clustered"/>
        <c:ser>
          <c:idx val="0"/>
          <c:order val="0"/>
          <c:tx>
            <c:strRef>
              <c:f>'DNLEU Results'!$B$83</c:f>
              <c:strCache>
                <c:ptCount val="1"/>
                <c:pt idx="0">
                  <c:v>HHISO/Liner Disposal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Results'!$A$84:$A$97</c:f>
              <c:strCache>
                <c:ptCount val="14"/>
                <c:pt idx="0">
                  <c:v>UUK DV70s</c:v>
                </c:pt>
                <c:pt idx="1">
                  <c:v>CNS(48) DV70s</c:v>
                </c:pt>
                <c:pt idx="2">
                  <c:v>CNS(236) DV70s</c:v>
                </c:pt>
                <c:pt idx="3">
                  <c:v>CNS(MDU) DV70s</c:v>
                </c:pt>
                <c:pt idx="4">
                  <c:v>Sella (TPU) DV70s</c:v>
                </c:pt>
                <c:pt idx="5">
                  <c:v>Misc (UO3) DV70s</c:v>
                </c:pt>
                <c:pt idx="6">
                  <c:v>HHISO/Liner</c:v>
                </c:pt>
                <c:pt idx="7">
                  <c:v>UUK Disposal</c:v>
                </c:pt>
                <c:pt idx="8">
                  <c:v>CNS(48) Disposal</c:v>
                </c:pt>
                <c:pt idx="9">
                  <c:v>CNS(236) Disposal</c:v>
                </c:pt>
                <c:pt idx="10">
                  <c:v>CNS(MDU) Disposal</c:v>
                </c:pt>
                <c:pt idx="11">
                  <c:v>Sella (TPU) Disposal</c:v>
                </c:pt>
                <c:pt idx="12">
                  <c:v>Misc (UO3) Disposal</c:v>
                </c:pt>
                <c:pt idx="13">
                  <c:v>DV70 Disposal</c:v>
                </c:pt>
              </c:strCache>
            </c:strRef>
          </c:cat>
          <c:val>
            <c:numRef>
              <c:f>'DNLEU Results'!$B$84:$B$97</c:f>
              <c:numCache>
                <c:formatCode>0.00</c:formatCode>
                <c:ptCount val="14"/>
                <c:pt idx="0">
                  <c:v>0.83125000000000004</c:v>
                </c:pt>
                <c:pt idx="1">
                  <c:v>0.15562499999999999</c:v>
                </c:pt>
                <c:pt idx="2">
                  <c:v>5.1874999999999998E-2</c:v>
                </c:pt>
                <c:pt idx="3">
                  <c:v>0.25343750000000004</c:v>
                </c:pt>
                <c:pt idx="4">
                  <c:v>4.2187500000000003E-2</c:v>
                </c:pt>
                <c:pt idx="5">
                  <c:v>1.6906250000000001E-2</c:v>
                </c:pt>
                <c:pt idx="6">
                  <c:v>3.84375</c:v>
                </c:pt>
                <c:pt idx="7">
                  <c:v>33.4375</c:v>
                </c:pt>
                <c:pt idx="8">
                  <c:v>6.25</c:v>
                </c:pt>
                <c:pt idx="9">
                  <c:v>2.0812500000000003</c:v>
                </c:pt>
                <c:pt idx="10">
                  <c:v>10.1875</c:v>
                </c:pt>
                <c:pt idx="11">
                  <c:v>1.6968750000000001</c:v>
                </c:pt>
                <c:pt idx="12">
                  <c:v>0.67812499999999998</c:v>
                </c:pt>
                <c:pt idx="13">
                  <c:v>0.176875</c:v>
                </c:pt>
              </c:numCache>
            </c:numRef>
          </c:val>
        </c:ser>
        <c:axId val="35691904"/>
        <c:axId val="35722752"/>
      </c:barChart>
      <c:catAx>
        <c:axId val="356919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Product Stages and Processes</a:t>
                </a:r>
              </a:p>
            </c:rich>
          </c:tx>
          <c:layout>
            <c:manualLayout>
              <c:xMode val="edge"/>
              <c:yMode val="edge"/>
              <c:x val="0.39499119838935798"/>
              <c:y val="0.9147465151542831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722752"/>
        <c:crosses val="autoZero"/>
        <c:auto val="1"/>
        <c:lblAlgn val="ctr"/>
        <c:lblOffset val="100"/>
        <c:tickLblSkip val="1"/>
        <c:tickMarkSkip val="1"/>
      </c:catAx>
      <c:valAx>
        <c:axId val="357227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Baseline Net Impact</a:t>
                </a:r>
              </a:p>
            </c:rich>
          </c:tx>
          <c:layout>
            <c:manualLayout>
              <c:xMode val="edge"/>
              <c:yMode val="edge"/>
              <c:x val="3.0828616302480263E-2"/>
              <c:y val="0.17972340464402506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69190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DNLEU - Comparison of HHISO/Liner Normalised Impacts</a:t>
            </a:r>
          </a:p>
        </c:rich>
      </c:tx>
      <c:layout>
        <c:manualLayout>
          <c:xMode val="edge"/>
          <c:yMode val="edge"/>
          <c:x val="0.12854476523767863"/>
          <c:y val="3.234516233416028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747243265013603"/>
          <c:y val="0.21862358982773203"/>
          <c:w val="0.84035567700647518"/>
          <c:h val="0.44129576465227499"/>
        </c:manualLayout>
      </c:layout>
      <c:barChart>
        <c:barDir val="col"/>
        <c:grouping val="clustered"/>
        <c:ser>
          <c:idx val="1"/>
          <c:order val="1"/>
          <c:tx>
            <c:strRef>
              <c:f>'DNLEU Results'!$R$86</c:f>
              <c:strCache>
                <c:ptCount val="1"/>
                <c:pt idx="0">
                  <c:v>Package Impact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Results'!$P$87:$P$97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Results'!$R$87:$R$97</c:f>
              <c:numCache>
                <c:formatCode>0.00E+00</c:formatCode>
                <c:ptCount val="11"/>
                <c:pt idx="0">
                  <c:v>1720</c:v>
                </c:pt>
                <c:pt idx="1">
                  <c:v>9.99</c:v>
                </c:pt>
                <c:pt idx="2">
                  <c:v>17100</c:v>
                </c:pt>
                <c:pt idx="3">
                  <c:v>3270</c:v>
                </c:pt>
                <c:pt idx="4">
                  <c:v>28.2</c:v>
                </c:pt>
                <c:pt idx="5">
                  <c:v>0.84499999999999997</c:v>
                </c:pt>
                <c:pt idx="6">
                  <c:v>9720</c:v>
                </c:pt>
                <c:pt idx="7">
                  <c:v>427</c:v>
                </c:pt>
                <c:pt idx="8">
                  <c:v>377</c:v>
                </c:pt>
                <c:pt idx="9">
                  <c:v>3430</c:v>
                </c:pt>
                <c:pt idx="10">
                  <c:v>14600</c:v>
                </c:pt>
              </c:numCache>
            </c:numRef>
          </c:val>
        </c:ser>
        <c:ser>
          <c:idx val="2"/>
          <c:order val="2"/>
          <c:tx>
            <c:strRef>
              <c:f>'DNLEU Results'!$S$86</c:f>
              <c:strCache>
                <c:ptCount val="1"/>
                <c:pt idx="0">
                  <c:v>Disposal Impact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Results'!$P$87:$P$97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Results'!$S$87:$S$97</c:f>
              <c:numCache>
                <c:formatCode>General</c:formatCode>
                <c:ptCount val="11"/>
                <c:pt idx="0" formatCode="0.00E+00">
                  <c:v>25000</c:v>
                </c:pt>
                <c:pt idx="1">
                  <c:v>162</c:v>
                </c:pt>
                <c:pt idx="2" formatCode="0.00E+00">
                  <c:v>179000</c:v>
                </c:pt>
                <c:pt idx="3" formatCode="0.00E+00">
                  <c:v>41900</c:v>
                </c:pt>
                <c:pt idx="4" formatCode="0.00E+00">
                  <c:v>926</c:v>
                </c:pt>
                <c:pt idx="5">
                  <c:v>37.9</c:v>
                </c:pt>
                <c:pt idx="6" formatCode="0.00E+00">
                  <c:v>15900</c:v>
                </c:pt>
                <c:pt idx="7" formatCode="0.00E+00">
                  <c:v>6180</c:v>
                </c:pt>
                <c:pt idx="8" formatCode="0.00E+00">
                  <c:v>5280</c:v>
                </c:pt>
                <c:pt idx="9" formatCode="0.00E+00">
                  <c:v>46500</c:v>
                </c:pt>
                <c:pt idx="10" formatCode="0.00E+00">
                  <c:v>276000</c:v>
                </c:pt>
              </c:numCache>
            </c:numRef>
          </c:val>
        </c:ser>
        <c:axId val="35752576"/>
        <c:axId val="35767424"/>
      </c:barChart>
      <c:lineChart>
        <c:grouping val="standard"/>
        <c:ser>
          <c:idx val="0"/>
          <c:order val="0"/>
          <c:tx>
            <c:strRef>
              <c:f>'DNLEU Results'!$Q$86</c:f>
              <c:strCache>
                <c:ptCount val="1"/>
                <c:pt idx="0">
                  <c:v>Total Impact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'DNLEU Results'!$P$87:$P$97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Results'!$Q$87:$Q$97</c:f>
              <c:numCache>
                <c:formatCode>General</c:formatCode>
                <c:ptCount val="11"/>
                <c:pt idx="0" formatCode="0.00E+00">
                  <c:v>26700</c:v>
                </c:pt>
                <c:pt idx="1">
                  <c:v>172</c:v>
                </c:pt>
                <c:pt idx="2" formatCode="0.00E+00">
                  <c:v>196000</c:v>
                </c:pt>
                <c:pt idx="3" formatCode="0.00E+00">
                  <c:v>45100</c:v>
                </c:pt>
                <c:pt idx="4" formatCode="0.00E+00">
                  <c:v>954</c:v>
                </c:pt>
                <c:pt idx="5">
                  <c:v>38.799999999999997</c:v>
                </c:pt>
                <c:pt idx="6" formatCode="0.00E+00">
                  <c:v>25700</c:v>
                </c:pt>
                <c:pt idx="7" formatCode="0.00E+00">
                  <c:v>6600</c:v>
                </c:pt>
                <c:pt idx="8" formatCode="0.00E+00">
                  <c:v>5650</c:v>
                </c:pt>
                <c:pt idx="9" formatCode="0.00E+00">
                  <c:v>49900</c:v>
                </c:pt>
                <c:pt idx="10" formatCode="0.00E+00">
                  <c:v>291000</c:v>
                </c:pt>
              </c:numCache>
            </c:numRef>
          </c:val>
        </c:ser>
        <c:marker val="1"/>
        <c:axId val="35752576"/>
        <c:axId val="35767424"/>
      </c:lineChart>
      <c:catAx>
        <c:axId val="357525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Impact Catergories</a:t>
                </a:r>
              </a:p>
            </c:rich>
          </c:tx>
          <c:layout>
            <c:manualLayout>
              <c:xMode val="edge"/>
              <c:yMode val="edge"/>
              <c:x val="0.47826128055832107"/>
              <c:y val="0.9002696580735627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767424"/>
        <c:crosses val="autoZero"/>
        <c:auto val="1"/>
        <c:lblAlgn val="ctr"/>
        <c:lblOffset val="100"/>
        <c:tickLblSkip val="2"/>
        <c:tickMarkSkip val="1"/>
      </c:catAx>
      <c:valAx>
        <c:axId val="357674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Normalised Values</a:t>
                </a:r>
              </a:p>
            </c:rich>
          </c:tx>
          <c:layout>
            <c:manualLayout>
              <c:xMode val="edge"/>
              <c:yMode val="edge"/>
              <c:x val="3.0245673313824276E-2"/>
              <c:y val="0.30188703124438215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75257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0155247835399884"/>
          <c:y val="0.10526329414302664"/>
          <c:w val="0.81818284208726788"/>
          <c:h val="0.1862349261136878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DNLEU - Comparison of HHISO/Liner Weighted Impacts</a:t>
            </a:r>
          </a:p>
        </c:rich>
      </c:tx>
      <c:layout>
        <c:manualLayout>
          <c:xMode val="edge"/>
          <c:yMode val="edge"/>
          <c:x val="0.14656761125198334"/>
          <c:y val="3.282820027243429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038958122231499"/>
          <c:y val="0.21810721501576902"/>
          <c:w val="0.86796513863035607"/>
          <c:h val="0.28395090256769906"/>
        </c:manualLayout>
      </c:layout>
      <c:barChart>
        <c:barDir val="col"/>
        <c:grouping val="clustered"/>
        <c:ser>
          <c:idx val="1"/>
          <c:order val="1"/>
          <c:tx>
            <c:strRef>
              <c:f>'DNLEU Results'!$R$99</c:f>
              <c:strCache>
                <c:ptCount val="1"/>
                <c:pt idx="0">
                  <c:v>Package Impact</c:v>
                </c:pt>
              </c:strCache>
            </c:strRef>
          </c:tx>
          <c:spPr>
            <a:pattFill prst="wdUpDiag">
              <a:fgClr>
                <a:srgbClr val="FFCC99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Results'!$P$100:$P$110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Results'!$R$100:$R$110</c:f>
              <c:numCache>
                <c:formatCode>0.00</c:formatCode>
                <c:ptCount val="11"/>
                <c:pt idx="0">
                  <c:v>0.21437499999999998</c:v>
                </c:pt>
                <c:pt idx="1">
                  <c:v>1.2468749999999999E-3</c:v>
                </c:pt>
                <c:pt idx="2">
                  <c:v>2.1312500000000001</c:v>
                </c:pt>
                <c:pt idx="3">
                  <c:v>0.40937500000000004</c:v>
                </c:pt>
                <c:pt idx="4">
                  <c:v>3.5312499999999997E-3</c:v>
                </c:pt>
                <c:pt idx="5">
                  <c:v>1.0562500000000001E-4</c:v>
                </c:pt>
                <c:pt idx="6">
                  <c:v>1.215625</c:v>
                </c:pt>
                <c:pt idx="7">
                  <c:v>5.3437499999999999E-2</c:v>
                </c:pt>
                <c:pt idx="8">
                  <c:v>4.71875E-2</c:v>
                </c:pt>
                <c:pt idx="9">
                  <c:v>0.21437499999999998</c:v>
                </c:pt>
                <c:pt idx="10">
                  <c:v>0.91562499999999991</c:v>
                </c:pt>
              </c:numCache>
            </c:numRef>
          </c:val>
        </c:ser>
        <c:ser>
          <c:idx val="2"/>
          <c:order val="2"/>
          <c:tx>
            <c:strRef>
              <c:f>'DNLEU Results'!$S$99</c:f>
              <c:strCache>
                <c:ptCount val="1"/>
                <c:pt idx="0">
                  <c:v>Disposal Impact</c:v>
                </c:pt>
              </c:strCache>
            </c:strRef>
          </c:tx>
          <c:spPr>
            <a:pattFill prst="wdDnDiag">
              <a:fgClr>
                <a:srgbClr val="FF99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Results'!$P$100:$P$110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Results'!$S$100:$S$110</c:f>
              <c:numCache>
                <c:formatCode>0.00</c:formatCode>
                <c:ptCount val="11"/>
                <c:pt idx="0">
                  <c:v>3.1187499999999999</c:v>
                </c:pt>
                <c:pt idx="1">
                  <c:v>2.0281250000000001E-2</c:v>
                </c:pt>
                <c:pt idx="2">
                  <c:v>22.34375</c:v>
                </c:pt>
                <c:pt idx="3">
                  <c:v>5.21875</c:v>
                </c:pt>
                <c:pt idx="4">
                  <c:v>0.11562499999999999</c:v>
                </c:pt>
                <c:pt idx="5">
                  <c:v>4.7499999999999999E-3</c:v>
                </c:pt>
                <c:pt idx="6">
                  <c:v>1.9906250000000001</c:v>
                </c:pt>
                <c:pt idx="7">
                  <c:v>0.77187499999999998</c:v>
                </c:pt>
                <c:pt idx="8">
                  <c:v>0.65937499999999993</c:v>
                </c:pt>
                <c:pt idx="9">
                  <c:v>2.90625</c:v>
                </c:pt>
                <c:pt idx="10">
                  <c:v>17.25</c:v>
                </c:pt>
              </c:numCache>
            </c:numRef>
          </c:val>
        </c:ser>
        <c:axId val="35809920"/>
        <c:axId val="35828864"/>
      </c:barChart>
      <c:lineChart>
        <c:grouping val="standard"/>
        <c:ser>
          <c:idx val="0"/>
          <c:order val="0"/>
          <c:tx>
            <c:strRef>
              <c:f>'DNLEU Results'!$Q$99</c:f>
              <c:strCache>
                <c:ptCount val="1"/>
                <c:pt idx="0">
                  <c:v>Total Impact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'DNLEU Results'!$P$100:$P$110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Results'!$Q$100:$Q$110</c:f>
              <c:numCache>
                <c:formatCode>0.00</c:formatCode>
                <c:ptCount val="11"/>
                <c:pt idx="0">
                  <c:v>3.34375</c:v>
                </c:pt>
                <c:pt idx="1">
                  <c:v>2.1531250000000002E-2</c:v>
                </c:pt>
                <c:pt idx="2">
                  <c:v>24.46875</c:v>
                </c:pt>
                <c:pt idx="3">
                  <c:v>5.65625</c:v>
                </c:pt>
                <c:pt idx="4">
                  <c:v>0.119375</c:v>
                </c:pt>
                <c:pt idx="5">
                  <c:v>4.84375E-3</c:v>
                </c:pt>
                <c:pt idx="6">
                  <c:v>3.21875</c:v>
                </c:pt>
                <c:pt idx="7">
                  <c:v>0.82500000000000007</c:v>
                </c:pt>
                <c:pt idx="8">
                  <c:v>0.70625000000000004</c:v>
                </c:pt>
                <c:pt idx="9">
                  <c:v>3.1218750000000002</c:v>
                </c:pt>
                <c:pt idx="10">
                  <c:v>18.15625</c:v>
                </c:pt>
              </c:numCache>
            </c:numRef>
          </c:val>
        </c:ser>
        <c:marker val="1"/>
        <c:axId val="35809920"/>
        <c:axId val="35828864"/>
      </c:lineChart>
      <c:catAx>
        <c:axId val="358099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7309834858213345"/>
              <c:y val="0.9065677929499318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28864"/>
        <c:crosses val="autoZero"/>
        <c:auto val="1"/>
        <c:lblAlgn val="ctr"/>
        <c:lblOffset val="100"/>
        <c:tickLblSkip val="1"/>
        <c:tickMarkSkip val="1"/>
      </c:catAx>
      <c:valAx>
        <c:axId val="358288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Percentage of Baseline Net Impact</a:t>
                </a:r>
              </a:p>
            </c:rich>
          </c:tx>
          <c:layout>
            <c:manualLayout>
              <c:xMode val="edge"/>
              <c:yMode val="edge"/>
              <c:x val="2.9684594510431959E-2"/>
              <c:y val="0.14393966576962691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0992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190260840139554"/>
          <c:y val="0.10101035010838391"/>
          <c:w val="0.50282578350433937"/>
          <c:h val="9.090931509754551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- LTIS, Grouted 4m Boxes and Disposal Impacts</a:t>
            </a:r>
          </a:p>
        </c:rich>
      </c:tx>
      <c:layout>
        <c:manualLayout>
          <c:xMode val="edge"/>
          <c:yMode val="edge"/>
          <c:x val="0.13988688913885763"/>
          <c:y val="3.36132983377077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337874757450901"/>
          <c:y val="0.14814829699184304"/>
          <c:w val="0.86621363146924601"/>
          <c:h val="0.42798396908754616"/>
        </c:manualLayout>
      </c:layout>
      <c:barChart>
        <c:barDir val="col"/>
        <c:grouping val="clustered"/>
        <c:ser>
          <c:idx val="0"/>
          <c:order val="0"/>
          <c:tx>
            <c:strRef>
              <c:f>'DNLEU Results'!$B$144</c:f>
              <c:strCache>
                <c:ptCount val="1"/>
                <c:pt idx="0">
                  <c:v>Grouted 4m Box Disposal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Results'!$A$145:$A$158</c:f>
              <c:strCache>
                <c:ptCount val="14"/>
                <c:pt idx="0">
                  <c:v>UUK DV70s</c:v>
                </c:pt>
                <c:pt idx="1">
                  <c:v>CNS(48) DV70s</c:v>
                </c:pt>
                <c:pt idx="2">
                  <c:v>CNS(236) DV70s</c:v>
                </c:pt>
                <c:pt idx="3">
                  <c:v>CNS(MDU) DV70s</c:v>
                </c:pt>
                <c:pt idx="4">
                  <c:v>Sella (TPU) DV70s</c:v>
                </c:pt>
                <c:pt idx="5">
                  <c:v>Misc (UO3) DV70</c:v>
                </c:pt>
                <c:pt idx="6">
                  <c:v>4mbox</c:v>
                </c:pt>
                <c:pt idx="7">
                  <c:v>UUK Disposal</c:v>
                </c:pt>
                <c:pt idx="8">
                  <c:v>CNS(48) Disposal</c:v>
                </c:pt>
                <c:pt idx="9">
                  <c:v>CNS(236) Disposal</c:v>
                </c:pt>
                <c:pt idx="10">
                  <c:v>CNS(MDU) Disposal</c:v>
                </c:pt>
                <c:pt idx="11">
                  <c:v>Sella (TPU) Disposal</c:v>
                </c:pt>
                <c:pt idx="12">
                  <c:v>Misc (UO3) Disposal</c:v>
                </c:pt>
                <c:pt idx="13">
                  <c:v>DV70 Disposal</c:v>
                </c:pt>
              </c:strCache>
            </c:strRef>
          </c:cat>
          <c:val>
            <c:numRef>
              <c:f>'DNLEU Results'!$B$145:$B$158</c:f>
              <c:numCache>
                <c:formatCode>0.00</c:formatCode>
                <c:ptCount val="14"/>
                <c:pt idx="0">
                  <c:v>0.83125000000000004</c:v>
                </c:pt>
                <c:pt idx="1">
                  <c:v>0.15562499999999999</c:v>
                </c:pt>
                <c:pt idx="2">
                  <c:v>5.1874999999999998E-2</c:v>
                </c:pt>
                <c:pt idx="3">
                  <c:v>0.25343750000000004</c:v>
                </c:pt>
                <c:pt idx="4">
                  <c:v>4.2187500000000003E-2</c:v>
                </c:pt>
                <c:pt idx="5">
                  <c:v>1.6906250000000001E-2</c:v>
                </c:pt>
                <c:pt idx="6">
                  <c:v>17.78125</c:v>
                </c:pt>
                <c:pt idx="7">
                  <c:v>53.125</c:v>
                </c:pt>
                <c:pt idx="8">
                  <c:v>9.9375</c:v>
                </c:pt>
                <c:pt idx="9">
                  <c:v>3.3125</c:v>
                </c:pt>
                <c:pt idx="10">
                  <c:v>16.15625</c:v>
                </c:pt>
                <c:pt idx="11">
                  <c:v>2.6968749999999999</c:v>
                </c:pt>
                <c:pt idx="12">
                  <c:v>1.078125</c:v>
                </c:pt>
                <c:pt idx="13">
                  <c:v>0.176875</c:v>
                </c:pt>
              </c:numCache>
            </c:numRef>
          </c:val>
        </c:ser>
        <c:axId val="35873920"/>
        <c:axId val="35875840"/>
      </c:barChart>
      <c:catAx>
        <c:axId val="358739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Product Stages and Processes</a:t>
                </a:r>
              </a:p>
            </c:rich>
          </c:tx>
          <c:layout>
            <c:manualLayout>
              <c:xMode val="edge"/>
              <c:yMode val="edge"/>
              <c:x val="0.39697579469233013"/>
              <c:y val="0.8963610480893278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75840"/>
        <c:crosses val="autoZero"/>
        <c:auto val="1"/>
        <c:lblAlgn val="ctr"/>
        <c:lblOffset val="100"/>
        <c:tickLblSkip val="1"/>
        <c:tickMarkSkip val="1"/>
      </c:catAx>
      <c:valAx>
        <c:axId val="358758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Baseline Net Impact</a:t>
                </a:r>
              </a:p>
            </c:rich>
          </c:tx>
          <c:layout>
            <c:manualLayout>
              <c:xMode val="edge"/>
              <c:yMode val="edge"/>
              <c:x val="3.0245802608007334E-2"/>
              <c:y val="0.1064430505508845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7392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- Comparison of Grouted 4m Box Normalised Impact</a:t>
            </a:r>
          </a:p>
        </c:rich>
      </c:tx>
      <c:layout>
        <c:manualLayout>
          <c:xMode val="edge"/>
          <c:yMode val="edge"/>
          <c:x val="0.11029428583996832"/>
          <c:y val="3.385442002995699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5922670331219"/>
          <c:y val="0.14843757078054901"/>
          <c:w val="0.83261758953695586"/>
          <c:h val="0.33593766018755911"/>
        </c:manualLayout>
      </c:layout>
      <c:barChart>
        <c:barDir val="col"/>
        <c:grouping val="clustered"/>
        <c:ser>
          <c:idx val="1"/>
          <c:order val="1"/>
          <c:tx>
            <c:strRef>
              <c:f>'DNLEU Results'!$R$147</c:f>
              <c:strCache>
                <c:ptCount val="1"/>
                <c:pt idx="0">
                  <c:v>Package Impact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Results'!$P$148:$P$158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Results'!$R$148:$R$158</c:f>
              <c:numCache>
                <c:formatCode>0.00E+00</c:formatCode>
                <c:ptCount val="11"/>
                <c:pt idx="0">
                  <c:v>4020</c:v>
                </c:pt>
                <c:pt idx="1">
                  <c:v>20</c:v>
                </c:pt>
                <c:pt idx="2">
                  <c:v>58700</c:v>
                </c:pt>
                <c:pt idx="3">
                  <c:v>6580</c:v>
                </c:pt>
                <c:pt idx="4">
                  <c:v>56.4</c:v>
                </c:pt>
                <c:pt idx="5">
                  <c:v>1.8</c:v>
                </c:pt>
                <c:pt idx="6">
                  <c:v>29100</c:v>
                </c:pt>
                <c:pt idx="7">
                  <c:v>786</c:v>
                </c:pt>
                <c:pt idx="8">
                  <c:v>824</c:v>
                </c:pt>
                <c:pt idx="9">
                  <c:v>73800</c:v>
                </c:pt>
                <c:pt idx="10">
                  <c:v>32300</c:v>
                </c:pt>
              </c:numCache>
            </c:numRef>
          </c:val>
        </c:ser>
        <c:ser>
          <c:idx val="2"/>
          <c:order val="2"/>
          <c:tx>
            <c:strRef>
              <c:f>'DNLEU Results'!$S$147</c:f>
              <c:strCache>
                <c:ptCount val="1"/>
                <c:pt idx="0">
                  <c:v>Disposal Impact</c:v>
                </c:pt>
              </c:strCache>
            </c:strRef>
          </c:tx>
          <c:spPr>
            <a:solidFill>
              <a:srgbClr val="3F77BE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Results'!$P$148:$P$158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Results'!$S$148:$S$158</c:f>
              <c:numCache>
                <c:formatCode>General</c:formatCode>
                <c:ptCount val="11"/>
                <c:pt idx="0" formatCode="0.00E+00">
                  <c:v>39800</c:v>
                </c:pt>
                <c:pt idx="1">
                  <c:v>257</c:v>
                </c:pt>
                <c:pt idx="2" formatCode="0.00E+00">
                  <c:v>284000</c:v>
                </c:pt>
                <c:pt idx="3" formatCode="0.00E+00">
                  <c:v>66200</c:v>
                </c:pt>
                <c:pt idx="4" formatCode="0.00E+00">
                  <c:v>1470</c:v>
                </c:pt>
                <c:pt idx="5">
                  <c:v>60.3</c:v>
                </c:pt>
                <c:pt idx="6" formatCode="0.00E+00">
                  <c:v>25400</c:v>
                </c:pt>
                <c:pt idx="7" formatCode="0.00E+00">
                  <c:v>9790</c:v>
                </c:pt>
                <c:pt idx="8" formatCode="0.00E+00">
                  <c:v>7600</c:v>
                </c:pt>
                <c:pt idx="9" formatCode="0.00E+00">
                  <c:v>74100</c:v>
                </c:pt>
                <c:pt idx="10" formatCode="0.00E+00">
                  <c:v>438000</c:v>
                </c:pt>
              </c:numCache>
            </c:numRef>
          </c:val>
        </c:ser>
        <c:axId val="35922688"/>
        <c:axId val="35924992"/>
      </c:barChart>
      <c:lineChart>
        <c:grouping val="standard"/>
        <c:ser>
          <c:idx val="0"/>
          <c:order val="0"/>
          <c:tx>
            <c:strRef>
              <c:f>'DNLEU Results'!$Q$147</c:f>
              <c:strCache>
                <c:ptCount val="1"/>
                <c:pt idx="0">
                  <c:v>Total Impact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'DNLEU Results'!$P$148:$P$158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Results'!$Q$148:$Q$158</c:f>
              <c:numCache>
                <c:formatCode>General</c:formatCode>
                <c:ptCount val="11"/>
                <c:pt idx="0" formatCode="0.00E+00">
                  <c:v>43800</c:v>
                </c:pt>
                <c:pt idx="1">
                  <c:v>277</c:v>
                </c:pt>
                <c:pt idx="2" formatCode="0.00E+00">
                  <c:v>343000</c:v>
                </c:pt>
                <c:pt idx="3" formatCode="0.00E+00">
                  <c:v>72800</c:v>
                </c:pt>
                <c:pt idx="4" formatCode="0.00E+00">
                  <c:v>1530</c:v>
                </c:pt>
                <c:pt idx="5">
                  <c:v>62.1</c:v>
                </c:pt>
                <c:pt idx="6" formatCode="0.00E+00">
                  <c:v>54500</c:v>
                </c:pt>
                <c:pt idx="7" formatCode="0.00E+00">
                  <c:v>10600</c:v>
                </c:pt>
                <c:pt idx="8" formatCode="0.00E+00">
                  <c:v>8420</c:v>
                </c:pt>
                <c:pt idx="9" formatCode="0.00E+00">
                  <c:v>148000</c:v>
                </c:pt>
                <c:pt idx="10" formatCode="0.00E+00">
                  <c:v>475000</c:v>
                </c:pt>
              </c:numCache>
            </c:numRef>
          </c:val>
        </c:ser>
        <c:marker val="1"/>
        <c:axId val="35922688"/>
        <c:axId val="35924992"/>
      </c:lineChart>
      <c:catAx>
        <c:axId val="35922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264749727513113"/>
              <c:y val="0.9036481565458767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24992"/>
        <c:crosses val="autoZero"/>
        <c:auto val="1"/>
        <c:lblAlgn val="ctr"/>
        <c:lblOffset val="100"/>
        <c:tickLblSkip val="1"/>
        <c:tickMarkSkip val="1"/>
      </c:catAx>
      <c:valAx>
        <c:axId val="359249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Values</a:t>
                </a:r>
              </a:p>
            </c:rich>
          </c:tx>
          <c:layout>
            <c:manualLayout>
              <c:xMode val="edge"/>
              <c:yMode val="edge"/>
              <c:x val="2.9411770456067292E-2"/>
              <c:y val="0.25520880570556953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2268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1115861913908804"/>
          <c:y val="6.2499896936966656E-2"/>
          <c:w val="0.81330420289642558"/>
          <c:h val="0.1406249742342416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- Comparison of Grouted 4m Box Weighted Impacts</a:t>
            </a:r>
          </a:p>
        </c:rich>
      </c:tx>
      <c:layout>
        <c:manualLayout>
          <c:xMode val="edge"/>
          <c:yMode val="edge"/>
          <c:x val="0.1394613604333941"/>
          <c:y val="3.095230337587111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19323946216727E-2"/>
          <c:y val="0.21831014066042706"/>
          <c:w val="0.88930520511577305"/>
          <c:h val="0.28873276667992004"/>
        </c:manualLayout>
      </c:layout>
      <c:barChart>
        <c:barDir val="col"/>
        <c:grouping val="clustered"/>
        <c:ser>
          <c:idx val="1"/>
          <c:order val="1"/>
          <c:tx>
            <c:strRef>
              <c:f>'DNLEU Results'!$R$167</c:f>
              <c:strCache>
                <c:ptCount val="1"/>
                <c:pt idx="0">
                  <c:v>Package Impact</c:v>
                </c:pt>
              </c:strCache>
            </c:strRef>
          </c:tx>
          <c:spPr>
            <a:pattFill prst="wdUpDiag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Results'!$P$168:$P$178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Results'!$R$168:$R$178</c:f>
              <c:numCache>
                <c:formatCode>0.00</c:formatCode>
                <c:ptCount val="11"/>
                <c:pt idx="0">
                  <c:v>0.50312500000000004</c:v>
                </c:pt>
                <c:pt idx="1">
                  <c:v>2.496875E-3</c:v>
                </c:pt>
                <c:pt idx="2">
                  <c:v>7.34375</c:v>
                </c:pt>
                <c:pt idx="3">
                  <c:v>0.82187500000000002</c:v>
                </c:pt>
                <c:pt idx="4">
                  <c:v>7.0624999999999993E-3</c:v>
                </c:pt>
                <c:pt idx="5">
                  <c:v>2.2468750000000001E-4</c:v>
                </c:pt>
                <c:pt idx="6">
                  <c:v>3.6249999999999996</c:v>
                </c:pt>
                <c:pt idx="7">
                  <c:v>9.812499999999999E-2</c:v>
                </c:pt>
                <c:pt idx="8">
                  <c:v>0.10312500000000001</c:v>
                </c:pt>
                <c:pt idx="9">
                  <c:v>4.625</c:v>
                </c:pt>
                <c:pt idx="10">
                  <c:v>2.0187500000000003</c:v>
                </c:pt>
              </c:numCache>
            </c:numRef>
          </c:val>
        </c:ser>
        <c:ser>
          <c:idx val="2"/>
          <c:order val="2"/>
          <c:tx>
            <c:strRef>
              <c:f>'DNLEU Results'!$S$167</c:f>
              <c:strCache>
                <c:ptCount val="1"/>
                <c:pt idx="0">
                  <c:v>Disposal Impact</c:v>
                </c:pt>
              </c:strCache>
            </c:strRef>
          </c:tx>
          <c:spPr>
            <a:pattFill prst="wdDnDiag">
              <a:fgClr>
                <a:srgbClr val="3F77BE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Results'!$P$168:$P$178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Results'!$S$168:$S$178</c:f>
              <c:numCache>
                <c:formatCode>0.00</c:formatCode>
                <c:ptCount val="11"/>
                <c:pt idx="0">
                  <c:v>4.96875</c:v>
                </c:pt>
                <c:pt idx="1">
                  <c:v>3.2187500000000001E-2</c:v>
                </c:pt>
                <c:pt idx="2">
                  <c:v>35.625</c:v>
                </c:pt>
                <c:pt idx="3">
                  <c:v>8.28125</c:v>
                </c:pt>
                <c:pt idx="4">
                  <c:v>0.18437499999999998</c:v>
                </c:pt>
                <c:pt idx="5">
                  <c:v>7.5312499999999998E-3</c:v>
                </c:pt>
                <c:pt idx="6">
                  <c:v>3.1875</c:v>
                </c:pt>
                <c:pt idx="7">
                  <c:v>1.2250000000000001</c:v>
                </c:pt>
                <c:pt idx="8">
                  <c:v>0.95</c:v>
                </c:pt>
                <c:pt idx="9">
                  <c:v>4.625</c:v>
                </c:pt>
                <c:pt idx="10">
                  <c:v>27.375</c:v>
                </c:pt>
              </c:numCache>
            </c:numRef>
          </c:val>
        </c:ser>
        <c:axId val="37102336"/>
        <c:axId val="37104640"/>
      </c:barChart>
      <c:lineChart>
        <c:grouping val="standard"/>
        <c:ser>
          <c:idx val="0"/>
          <c:order val="0"/>
          <c:tx>
            <c:strRef>
              <c:f>'DNLEU Results'!$Q$167</c:f>
              <c:strCache>
                <c:ptCount val="1"/>
                <c:pt idx="0">
                  <c:v>Total Impact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'DNLEU Results'!$P$168:$P$178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Results'!$Q$168:$Q$178</c:f>
              <c:numCache>
                <c:formatCode>0.00</c:formatCode>
                <c:ptCount val="11"/>
                <c:pt idx="0">
                  <c:v>5.46875</c:v>
                </c:pt>
                <c:pt idx="1">
                  <c:v>3.4687500000000003E-2</c:v>
                </c:pt>
                <c:pt idx="2">
                  <c:v>42.8125</c:v>
                </c:pt>
                <c:pt idx="3">
                  <c:v>9.09375</c:v>
                </c:pt>
                <c:pt idx="4">
                  <c:v>0.19125</c:v>
                </c:pt>
                <c:pt idx="5">
                  <c:v>7.7499999999999999E-3</c:v>
                </c:pt>
                <c:pt idx="6">
                  <c:v>6.8125000000000009</c:v>
                </c:pt>
                <c:pt idx="7">
                  <c:v>1.3218749999999999</c:v>
                </c:pt>
                <c:pt idx="8">
                  <c:v>1.0531250000000001</c:v>
                </c:pt>
                <c:pt idx="9">
                  <c:v>9.25</c:v>
                </c:pt>
                <c:pt idx="10">
                  <c:v>29.40625</c:v>
                </c:pt>
              </c:numCache>
            </c:numRef>
          </c:val>
        </c:ser>
        <c:marker val="1"/>
        <c:axId val="37102336"/>
        <c:axId val="37104640"/>
      </c:lineChart>
      <c:catAx>
        <c:axId val="371023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6275784492455685"/>
              <c:y val="0.907144779316378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104640"/>
        <c:crosses val="autoZero"/>
        <c:auto val="1"/>
        <c:lblAlgn val="ctr"/>
        <c:lblOffset val="100"/>
        <c:tickLblSkip val="1"/>
        <c:tickMarkSkip val="1"/>
      </c:catAx>
      <c:valAx>
        <c:axId val="371046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Baseline Net Impact</a:t>
                </a:r>
              </a:p>
            </c:rich>
          </c:tx>
          <c:layout>
            <c:manualLayout>
              <c:xMode val="edge"/>
              <c:yMode val="edge"/>
              <c:x val="2.5356658003956398E-2"/>
              <c:y val="0.1023812713066039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10233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769736842105265"/>
          <c:y val="0.103448508100997"/>
          <c:w val="0.47203947368421051"/>
          <c:h val="7.586223927406446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- LTIS, 200l Drums/4m Boxes and Disposal Impacts</a:t>
            </a:r>
          </a:p>
        </c:rich>
      </c:tx>
      <c:layout>
        <c:manualLayout>
          <c:xMode val="edge"/>
          <c:yMode val="edge"/>
          <c:x val="0.10899645741003686"/>
          <c:y val="3.0905066951376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801230305756799"/>
          <c:y val="9.9315110011734611E-2"/>
          <c:w val="0.86335316447378407"/>
          <c:h val="0.44520566556984509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Results'!$A$204:$A$218</c:f>
              <c:strCache>
                <c:ptCount val="15"/>
                <c:pt idx="0">
                  <c:v>UUK DV70s</c:v>
                </c:pt>
                <c:pt idx="1">
                  <c:v>CNS(48) DV70s</c:v>
                </c:pt>
                <c:pt idx="2">
                  <c:v>CNS(236) DV70s</c:v>
                </c:pt>
                <c:pt idx="3">
                  <c:v>CNS(MDU) DV70s</c:v>
                </c:pt>
                <c:pt idx="4">
                  <c:v>Sella (TPU) DV70s</c:v>
                </c:pt>
                <c:pt idx="5">
                  <c:v>Misc (UO3) DV70s</c:v>
                </c:pt>
                <c:pt idx="6">
                  <c:v>4m Boxes</c:v>
                </c:pt>
                <c:pt idx="7">
                  <c:v>200l Drums</c:v>
                </c:pt>
                <c:pt idx="8">
                  <c:v>UUK Disposal</c:v>
                </c:pt>
                <c:pt idx="9">
                  <c:v>CNS(48) Disposal</c:v>
                </c:pt>
                <c:pt idx="10">
                  <c:v>CNS(236) Disposal</c:v>
                </c:pt>
                <c:pt idx="11">
                  <c:v>CNS(MDU) Disposal</c:v>
                </c:pt>
                <c:pt idx="12">
                  <c:v>Sella (TPU) Disposal</c:v>
                </c:pt>
                <c:pt idx="13">
                  <c:v>Misc (UO3) Disposal</c:v>
                </c:pt>
                <c:pt idx="14">
                  <c:v>DV70 Disposal</c:v>
                </c:pt>
              </c:strCache>
            </c:strRef>
          </c:cat>
          <c:val>
            <c:numRef>
              <c:f>'DNLEU Results'!$B$204:$B$218</c:f>
              <c:numCache>
                <c:formatCode>0.00</c:formatCode>
                <c:ptCount val="15"/>
                <c:pt idx="0">
                  <c:v>0.83125000000000004</c:v>
                </c:pt>
                <c:pt idx="1">
                  <c:v>0.15562499999999999</c:v>
                </c:pt>
                <c:pt idx="2">
                  <c:v>5.1874999999999998E-2</c:v>
                </c:pt>
                <c:pt idx="3">
                  <c:v>0.25343750000000004</c:v>
                </c:pt>
                <c:pt idx="4">
                  <c:v>4.2187500000000003E-2</c:v>
                </c:pt>
                <c:pt idx="5">
                  <c:v>1.6906250000000001E-2</c:v>
                </c:pt>
                <c:pt idx="6">
                  <c:v>7.9687499999999991</c:v>
                </c:pt>
                <c:pt idx="7">
                  <c:v>3.875</c:v>
                </c:pt>
                <c:pt idx="8">
                  <c:v>23.4375</c:v>
                </c:pt>
                <c:pt idx="9">
                  <c:v>4.40625</c:v>
                </c:pt>
                <c:pt idx="10">
                  <c:v>1.465625</c:v>
                </c:pt>
                <c:pt idx="11">
                  <c:v>7.15625</c:v>
                </c:pt>
                <c:pt idx="12">
                  <c:v>1.1937500000000001</c:v>
                </c:pt>
                <c:pt idx="13">
                  <c:v>0.47812499999999997</c:v>
                </c:pt>
                <c:pt idx="14">
                  <c:v>0.176875</c:v>
                </c:pt>
              </c:numCache>
            </c:numRef>
          </c:val>
        </c:ser>
        <c:axId val="37145216"/>
        <c:axId val="37151488"/>
      </c:barChart>
      <c:catAx>
        <c:axId val="37145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Product Stages and Processes</a:t>
                </a:r>
              </a:p>
            </c:rich>
          </c:tx>
          <c:layout>
            <c:manualLayout>
              <c:xMode val="edge"/>
              <c:yMode val="edge"/>
              <c:x val="0.39619389106416347"/>
              <c:y val="0.916116820143244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151488"/>
        <c:crosses val="autoZero"/>
        <c:auto val="1"/>
        <c:lblAlgn val="ctr"/>
        <c:lblOffset val="100"/>
        <c:tickLblSkip val="1"/>
        <c:tickMarkSkip val="1"/>
      </c:catAx>
      <c:valAx>
        <c:axId val="371514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Baseline Net Impact</a:t>
                </a:r>
              </a:p>
            </c:rich>
          </c:tx>
          <c:layout>
            <c:manualLayout>
              <c:xMode val="edge"/>
              <c:yMode val="edge"/>
              <c:x val="2.7681731040450547E-2"/>
              <c:y val="0.167770808309978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14521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DNLEU - Comparison of 200lDrum/4m Box Normalised Impacts</a:t>
            </a:r>
          </a:p>
        </c:rich>
      </c:tx>
      <c:layout>
        <c:manualLayout>
          <c:xMode val="edge"/>
          <c:yMode val="edge"/>
          <c:x val="0.11746045724547589"/>
          <c:y val="3.203655958934336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097757300132602"/>
          <c:y val="0.17204316130008901"/>
          <c:w val="0.8402263350879039"/>
          <c:h val="0.31541246238349713"/>
        </c:manualLayout>
      </c:layout>
      <c:barChart>
        <c:barDir val="col"/>
        <c:grouping val="clustered"/>
        <c:ser>
          <c:idx val="1"/>
          <c:order val="1"/>
          <c:tx>
            <c:strRef>
              <c:f>'DNLEU Results'!$R$203</c:f>
              <c:strCache>
                <c:ptCount val="1"/>
                <c:pt idx="0">
                  <c:v>Package Impact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Results'!$P$204:$P$214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Results'!$R$204:$R$214</c:f>
              <c:numCache>
                <c:formatCode>0.00E+00</c:formatCode>
                <c:ptCount val="11"/>
                <c:pt idx="0">
                  <c:v>2790</c:v>
                </c:pt>
                <c:pt idx="1">
                  <c:v>14.3</c:v>
                </c:pt>
                <c:pt idx="2">
                  <c:v>41000</c:v>
                </c:pt>
                <c:pt idx="3">
                  <c:v>4760</c:v>
                </c:pt>
                <c:pt idx="4">
                  <c:v>40.6</c:v>
                </c:pt>
                <c:pt idx="5">
                  <c:v>1.29</c:v>
                </c:pt>
                <c:pt idx="6">
                  <c:v>19500</c:v>
                </c:pt>
                <c:pt idx="7">
                  <c:v>560</c:v>
                </c:pt>
                <c:pt idx="8">
                  <c:v>592</c:v>
                </c:pt>
                <c:pt idx="9">
                  <c:v>49500</c:v>
                </c:pt>
                <c:pt idx="10">
                  <c:v>23100</c:v>
                </c:pt>
              </c:numCache>
            </c:numRef>
          </c:val>
        </c:ser>
        <c:ser>
          <c:idx val="2"/>
          <c:order val="2"/>
          <c:tx>
            <c:strRef>
              <c:f>'DNLEU Results'!$S$203</c:f>
              <c:strCache>
                <c:ptCount val="1"/>
                <c:pt idx="0">
                  <c:v>Disposal Impact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Results'!$P$204:$P$214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Results'!$S$204:$S$214</c:f>
              <c:numCache>
                <c:formatCode>General</c:formatCode>
                <c:ptCount val="11"/>
                <c:pt idx="0" formatCode="0.00E+00">
                  <c:v>17800</c:v>
                </c:pt>
                <c:pt idx="1">
                  <c:v>114</c:v>
                </c:pt>
                <c:pt idx="2" formatCode="0.00E+00">
                  <c:v>126000</c:v>
                </c:pt>
                <c:pt idx="3" formatCode="0.00E+00">
                  <c:v>28200</c:v>
                </c:pt>
                <c:pt idx="4" formatCode="0.00E+00">
                  <c:v>656</c:v>
                </c:pt>
                <c:pt idx="5">
                  <c:v>26.9</c:v>
                </c:pt>
                <c:pt idx="6" formatCode="0.00E+00">
                  <c:v>11400</c:v>
                </c:pt>
                <c:pt idx="7" formatCode="0.00E+00">
                  <c:v>4310</c:v>
                </c:pt>
                <c:pt idx="8" formatCode="0.00E+00">
                  <c:v>4120</c:v>
                </c:pt>
                <c:pt idx="9" formatCode="0.00E+00">
                  <c:v>33200</c:v>
                </c:pt>
                <c:pt idx="10" formatCode="0.00E+00">
                  <c:v>195000</c:v>
                </c:pt>
              </c:numCache>
            </c:numRef>
          </c:val>
        </c:ser>
        <c:axId val="37312384"/>
        <c:axId val="37319040"/>
      </c:barChart>
      <c:lineChart>
        <c:grouping val="standard"/>
        <c:ser>
          <c:idx val="0"/>
          <c:order val="0"/>
          <c:tx>
            <c:strRef>
              <c:f>'DNLEU Results'!$Q$203</c:f>
              <c:strCache>
                <c:ptCount val="1"/>
                <c:pt idx="0">
                  <c:v>Total Impact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'DNLEU Results'!$P$204:$P$214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Results'!$Q$204:$Q$214</c:f>
              <c:numCache>
                <c:formatCode>General</c:formatCode>
                <c:ptCount val="11"/>
                <c:pt idx="0" formatCode="0.00E+00">
                  <c:v>20600</c:v>
                </c:pt>
                <c:pt idx="1">
                  <c:v>128</c:v>
                </c:pt>
                <c:pt idx="2" formatCode="0.00E+00">
                  <c:v>167000</c:v>
                </c:pt>
                <c:pt idx="3" formatCode="0.00E+00">
                  <c:v>33000</c:v>
                </c:pt>
                <c:pt idx="4" formatCode="0.00E+00">
                  <c:v>696</c:v>
                </c:pt>
                <c:pt idx="5">
                  <c:v>28.2</c:v>
                </c:pt>
                <c:pt idx="6" formatCode="0.00E+00">
                  <c:v>30800</c:v>
                </c:pt>
                <c:pt idx="7" formatCode="0.00E+00">
                  <c:v>4870</c:v>
                </c:pt>
                <c:pt idx="8" formatCode="0.00E+00">
                  <c:v>4710</c:v>
                </c:pt>
                <c:pt idx="9" formatCode="0.00E+00">
                  <c:v>82700</c:v>
                </c:pt>
                <c:pt idx="10" formatCode="0.00E+00">
                  <c:v>218000</c:v>
                </c:pt>
              </c:numCache>
            </c:numRef>
          </c:val>
        </c:ser>
        <c:marker val="1"/>
        <c:axId val="37312384"/>
        <c:axId val="37319040"/>
      </c:lineChart>
      <c:catAx>
        <c:axId val="373123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8571505042132895"/>
              <c:y val="0.9107551157875176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319040"/>
        <c:crosses val="autoZero"/>
        <c:auto val="1"/>
        <c:lblAlgn val="ctr"/>
        <c:lblOffset val="100"/>
        <c:tickLblSkip val="1"/>
        <c:tickMarkSkip val="1"/>
      </c:catAx>
      <c:valAx>
        <c:axId val="373190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5396808951512639E-2"/>
              <c:y val="0.24942791443105011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31238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125231772896751"/>
          <c:y val="7.5055349439822713E-2"/>
          <c:w val="0.47281751378571113"/>
          <c:h val="8.167788027274824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0.111814230808455"/>
          <c:y val="0.121311475409836"/>
          <c:w val="0.86497801191446211"/>
          <c:h val="0.73770491803278715"/>
        </c:manualLayout>
      </c:layout>
      <c:barChart>
        <c:barDir val="col"/>
        <c:grouping val="clustered"/>
        <c:ser>
          <c:idx val="0"/>
          <c:order val="0"/>
          <c:tx>
            <c:strRef>
              <c:f>'General metal graphs'!$C$154</c:f>
              <c:strCache>
                <c:ptCount val="1"/>
                <c:pt idx="0">
                  <c:v>ILW (2010 UKRWI)</c:v>
                </c:pt>
              </c:strCache>
            </c:strRef>
          </c:tx>
          <c:spPr>
            <a:pattFill prst="wdUpDiag">
              <a:fgClr>
                <a:srgbClr val="FF99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graphs'!$B$155:$B$165</c:f>
              <c:numCache>
                <c:formatCode>General</c:formatCode>
                <c:ptCount val="11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  <c:pt idx="6">
                  <c:v>2080</c:v>
                </c:pt>
                <c:pt idx="7">
                  <c:v>2090</c:v>
                </c:pt>
                <c:pt idx="8">
                  <c:v>2100</c:v>
                </c:pt>
                <c:pt idx="9">
                  <c:v>2110</c:v>
                </c:pt>
                <c:pt idx="10">
                  <c:v>2120</c:v>
                </c:pt>
              </c:numCache>
            </c:numRef>
          </c:cat>
          <c:val>
            <c:numRef>
              <c:f>'General metal graphs'!$C$155:$C$165</c:f>
              <c:numCache>
                <c:formatCode>General</c:formatCode>
                <c:ptCount val="11"/>
                <c:pt idx="0">
                  <c:v>19800</c:v>
                </c:pt>
                <c:pt idx="1">
                  <c:v>17400</c:v>
                </c:pt>
                <c:pt idx="2">
                  <c:v>21600</c:v>
                </c:pt>
                <c:pt idx="3">
                  <c:v>20250</c:v>
                </c:pt>
                <c:pt idx="4">
                  <c:v>20250</c:v>
                </c:pt>
                <c:pt idx="5">
                  <c:v>16300</c:v>
                </c:pt>
                <c:pt idx="6">
                  <c:v>16300</c:v>
                </c:pt>
                <c:pt idx="7">
                  <c:v>16300</c:v>
                </c:pt>
                <c:pt idx="8">
                  <c:v>16300</c:v>
                </c:pt>
                <c:pt idx="9">
                  <c:v>13900</c:v>
                </c:pt>
                <c:pt idx="10">
                  <c:v>13900</c:v>
                </c:pt>
              </c:numCache>
            </c:numRef>
          </c:val>
        </c:ser>
        <c:axId val="38551552"/>
        <c:axId val="38553472"/>
      </c:barChart>
      <c:catAx>
        <c:axId val="385515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Decade</a:t>
                </a:r>
              </a:p>
            </c:rich>
          </c:tx>
          <c:layout>
            <c:manualLayout>
              <c:xMode val="edge"/>
              <c:yMode val="edge"/>
              <c:x val="0.51782356427457954"/>
              <c:y val="0.9095478406108327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553472"/>
        <c:crosses val="autoZero"/>
        <c:auto val="1"/>
        <c:lblAlgn val="ctr"/>
        <c:lblOffset val="100"/>
        <c:tickLblSkip val="1"/>
        <c:tickMarkSkip val="1"/>
      </c:catAx>
      <c:valAx>
        <c:axId val="385534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Waste Volume (m3)</a:t>
                </a:r>
              </a:p>
            </c:rich>
          </c:tx>
          <c:layout>
            <c:manualLayout>
              <c:xMode val="edge"/>
              <c:yMode val="edge"/>
              <c:x val="3.0018875724025958E-2"/>
              <c:y val="0.3442212479121927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55155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2768361581921"/>
          <c:y val="1.6713091922005572E-2"/>
          <c:w val="0.15065913370998116"/>
          <c:h val="5.571030640668523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DNLEU - Comparison of 200l Drum/4m Boxes Weighted Impacts</a:t>
            </a:r>
          </a:p>
        </c:rich>
      </c:tx>
      <c:layout>
        <c:manualLayout>
          <c:xMode val="edge"/>
          <c:yMode val="edge"/>
          <c:x val="0.10880029347413105"/>
          <c:y val="3.186310588461037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041755488129906"/>
          <c:y val="0.16730014727321799"/>
          <c:w val="0.84060779476236891"/>
          <c:h val="0.33460029454643503"/>
        </c:manualLayout>
      </c:layout>
      <c:barChart>
        <c:barDir val="col"/>
        <c:grouping val="clustered"/>
        <c:ser>
          <c:idx val="1"/>
          <c:order val="1"/>
          <c:tx>
            <c:strRef>
              <c:f>'DNLEU Results'!$R$217</c:f>
              <c:strCache>
                <c:ptCount val="1"/>
                <c:pt idx="0">
                  <c:v>Package Impact</c:v>
                </c:pt>
              </c:strCache>
            </c:strRef>
          </c:tx>
          <c:spPr>
            <a:pattFill prst="wdUpDiag">
              <a:fgClr>
                <a:srgbClr val="FF99C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Results'!$P$218:$P$228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Results'!$R$218:$R$228</c:f>
              <c:numCache>
                <c:formatCode>0.00</c:formatCode>
                <c:ptCount val="11"/>
                <c:pt idx="0">
                  <c:v>0.35000000000000003</c:v>
                </c:pt>
                <c:pt idx="1">
                  <c:v>1.7906250000000001E-3</c:v>
                </c:pt>
                <c:pt idx="2">
                  <c:v>5.125</c:v>
                </c:pt>
                <c:pt idx="3">
                  <c:v>0.59375</c:v>
                </c:pt>
                <c:pt idx="4">
                  <c:v>5.0624999999999993E-3</c:v>
                </c:pt>
                <c:pt idx="5">
                  <c:v>1.6124999999999999E-4</c:v>
                </c:pt>
                <c:pt idx="6">
                  <c:v>2.4343750000000002</c:v>
                </c:pt>
                <c:pt idx="7">
                  <c:v>6.9999999999999993E-2</c:v>
                </c:pt>
                <c:pt idx="8">
                  <c:v>7.4062500000000003E-2</c:v>
                </c:pt>
                <c:pt idx="9">
                  <c:v>3.0968749999999998</c:v>
                </c:pt>
                <c:pt idx="10">
                  <c:v>1.4437500000000001</c:v>
                </c:pt>
              </c:numCache>
            </c:numRef>
          </c:val>
        </c:ser>
        <c:ser>
          <c:idx val="2"/>
          <c:order val="2"/>
          <c:tx>
            <c:strRef>
              <c:f>'DNLEU Results'!$S$217</c:f>
              <c:strCache>
                <c:ptCount val="1"/>
                <c:pt idx="0">
                  <c:v>Disposal Impact</c:v>
                </c:pt>
              </c:strCache>
            </c:strRef>
          </c:tx>
          <c:spPr>
            <a:pattFill prst="wdDnDiag">
              <a:fgClr>
                <a:srgbClr val="CC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Results'!$P$218:$P$228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Results'!$S$218:$S$228</c:f>
              <c:numCache>
                <c:formatCode>0.00</c:formatCode>
                <c:ptCount val="11"/>
                <c:pt idx="0">
                  <c:v>2.2218749999999998</c:v>
                </c:pt>
                <c:pt idx="1">
                  <c:v>1.4249999999999999E-2</c:v>
                </c:pt>
                <c:pt idx="2">
                  <c:v>15.75</c:v>
                </c:pt>
                <c:pt idx="3">
                  <c:v>3.5312499999999996</c:v>
                </c:pt>
                <c:pt idx="4">
                  <c:v>8.1875000000000003E-2</c:v>
                </c:pt>
                <c:pt idx="5">
                  <c:v>3.375E-3</c:v>
                </c:pt>
                <c:pt idx="6">
                  <c:v>1.41875</c:v>
                </c:pt>
                <c:pt idx="7">
                  <c:v>0.53749999999999998</c:v>
                </c:pt>
                <c:pt idx="8">
                  <c:v>0.515625</c:v>
                </c:pt>
                <c:pt idx="9">
                  <c:v>2.0718749999999999</c:v>
                </c:pt>
                <c:pt idx="10">
                  <c:v>12.15625</c:v>
                </c:pt>
              </c:numCache>
            </c:numRef>
          </c:val>
        </c:ser>
        <c:axId val="37377920"/>
        <c:axId val="37392768"/>
      </c:barChart>
      <c:lineChart>
        <c:grouping val="standard"/>
        <c:ser>
          <c:idx val="0"/>
          <c:order val="0"/>
          <c:tx>
            <c:strRef>
              <c:f>'DNLEU Results'!$Q$217</c:f>
              <c:strCache>
                <c:ptCount val="1"/>
                <c:pt idx="0">
                  <c:v>Total Impact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'DNLEU Results'!$P$218:$P$228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Results'!$Q$218:$Q$228</c:f>
              <c:numCache>
                <c:formatCode>0.00</c:formatCode>
                <c:ptCount val="11"/>
                <c:pt idx="0">
                  <c:v>2.5718749999999999</c:v>
                </c:pt>
                <c:pt idx="1">
                  <c:v>1.60625E-2</c:v>
                </c:pt>
                <c:pt idx="2">
                  <c:v>20.875</c:v>
                </c:pt>
                <c:pt idx="3">
                  <c:v>4.125</c:v>
                </c:pt>
                <c:pt idx="4">
                  <c:v>8.7187500000000001E-2</c:v>
                </c:pt>
                <c:pt idx="5">
                  <c:v>3.5312499999999997E-3</c:v>
                </c:pt>
                <c:pt idx="6">
                  <c:v>3.84375</c:v>
                </c:pt>
                <c:pt idx="7">
                  <c:v>0.609375</c:v>
                </c:pt>
                <c:pt idx="8">
                  <c:v>0.58750000000000002</c:v>
                </c:pt>
                <c:pt idx="9">
                  <c:v>5.15625</c:v>
                </c:pt>
                <c:pt idx="10">
                  <c:v>13.625000000000002</c:v>
                </c:pt>
              </c:numCache>
            </c:numRef>
          </c:val>
        </c:ser>
        <c:marker val="1"/>
        <c:axId val="37377920"/>
        <c:axId val="37392768"/>
      </c:lineChart>
      <c:catAx>
        <c:axId val="373779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7840039129884138"/>
              <c:y val="0.9044136976350541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392768"/>
        <c:crosses val="autoZero"/>
        <c:auto val="1"/>
        <c:lblAlgn val="ctr"/>
        <c:lblOffset val="100"/>
        <c:tickLblSkip val="1"/>
        <c:tickMarkSkip val="1"/>
      </c:catAx>
      <c:valAx>
        <c:axId val="373927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Percentage of Baseline Net Impact</a:t>
                </a:r>
              </a:p>
            </c:rich>
          </c:tx>
          <c:layout>
            <c:manualLayout>
              <c:xMode val="edge"/>
              <c:yMode val="edge"/>
              <c:x val="2.5600027949917243E-2"/>
              <c:y val="0.1568630030906711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37792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113170849016975"/>
          <c:y val="7.0312678814389074E-2"/>
          <c:w val="0.47753782557864627"/>
          <c:h val="7.812519868265452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- LTIS, 3m3 Drums and Disposal Impacts</a:t>
            </a:r>
          </a:p>
        </c:rich>
      </c:tx>
      <c:layout>
        <c:manualLayout>
          <c:xMode val="edge"/>
          <c:yMode val="edge"/>
          <c:x val="0.20411376114217605"/>
          <c:y val="3.258142732158480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014883017193504"/>
          <c:y val="0.15985130111524204"/>
          <c:w val="0.82122830355608512"/>
          <c:h val="0.3234200743494422"/>
        </c:manualLayout>
      </c:layout>
      <c:barChart>
        <c:barDir val="col"/>
        <c:grouping val="clustered"/>
        <c:ser>
          <c:idx val="0"/>
          <c:order val="0"/>
          <c:tx>
            <c:strRef>
              <c:f>'DNLEU Results'!$B$262</c:f>
              <c:strCache>
                <c:ptCount val="1"/>
                <c:pt idx="0">
                  <c:v>Grouted 3m3 Drum Disposal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Results'!$A$263:$A$276</c:f>
              <c:strCache>
                <c:ptCount val="14"/>
                <c:pt idx="0">
                  <c:v>UUK DV70s</c:v>
                </c:pt>
                <c:pt idx="1">
                  <c:v>CNS(48) DV70s</c:v>
                </c:pt>
                <c:pt idx="2">
                  <c:v>CNS(236) DV70s</c:v>
                </c:pt>
                <c:pt idx="3">
                  <c:v>CNS(MDU) DV70s</c:v>
                </c:pt>
                <c:pt idx="4">
                  <c:v>Sella (TPU) DV70s</c:v>
                </c:pt>
                <c:pt idx="5">
                  <c:v>Misc (UO3) DV70s</c:v>
                </c:pt>
                <c:pt idx="6">
                  <c:v>3m3 Drums</c:v>
                </c:pt>
                <c:pt idx="7">
                  <c:v>UUK Disposal</c:v>
                </c:pt>
                <c:pt idx="8">
                  <c:v>CNS(48) Disposal</c:v>
                </c:pt>
                <c:pt idx="9">
                  <c:v>CNS(236) Disposal</c:v>
                </c:pt>
                <c:pt idx="10">
                  <c:v>CNS(MDU) Disposal</c:v>
                </c:pt>
                <c:pt idx="11">
                  <c:v>Sella (TPU) Disposal</c:v>
                </c:pt>
                <c:pt idx="12">
                  <c:v>Misc (UO3) Disposal</c:v>
                </c:pt>
                <c:pt idx="13">
                  <c:v>DV70 Disposal</c:v>
                </c:pt>
              </c:strCache>
            </c:strRef>
          </c:cat>
          <c:val>
            <c:numRef>
              <c:f>'DNLEU Results'!$B$263:$B$276</c:f>
              <c:numCache>
                <c:formatCode>0.00</c:formatCode>
                <c:ptCount val="14"/>
                <c:pt idx="0">
                  <c:v>0.83125000000000004</c:v>
                </c:pt>
                <c:pt idx="1">
                  <c:v>0.15562499999999999</c:v>
                </c:pt>
                <c:pt idx="2">
                  <c:v>5.1874999999999998E-2</c:v>
                </c:pt>
                <c:pt idx="3">
                  <c:v>0.25343750000000004</c:v>
                </c:pt>
                <c:pt idx="4">
                  <c:v>4.2187500000000003E-2</c:v>
                </c:pt>
                <c:pt idx="5">
                  <c:v>1.6906250000000001E-2</c:v>
                </c:pt>
                <c:pt idx="6">
                  <c:v>6.15625</c:v>
                </c:pt>
                <c:pt idx="7">
                  <c:v>23.8125</c:v>
                </c:pt>
                <c:pt idx="8">
                  <c:v>4.46875</c:v>
                </c:pt>
                <c:pt idx="9">
                  <c:v>1.484375</c:v>
                </c:pt>
                <c:pt idx="10">
                  <c:v>7.2499999999999991</c:v>
                </c:pt>
                <c:pt idx="11">
                  <c:v>1.2125000000000001</c:v>
                </c:pt>
                <c:pt idx="12">
                  <c:v>0.484375</c:v>
                </c:pt>
                <c:pt idx="13">
                  <c:v>0.176875</c:v>
                </c:pt>
              </c:numCache>
            </c:numRef>
          </c:val>
        </c:ser>
        <c:axId val="37433728"/>
        <c:axId val="37435648"/>
      </c:barChart>
      <c:catAx>
        <c:axId val="37433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Product Stages and Processes</a:t>
                </a:r>
              </a:p>
            </c:rich>
          </c:tx>
          <c:layout>
            <c:manualLayout>
              <c:xMode val="edge"/>
              <c:yMode val="edge"/>
              <c:x val="0.38607596755719542"/>
              <c:y val="0.9022577177852768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35648"/>
        <c:crosses val="autoZero"/>
        <c:auto val="1"/>
        <c:lblAlgn val="ctr"/>
        <c:lblOffset val="100"/>
        <c:tickLblSkip val="1"/>
        <c:tickMarkSkip val="1"/>
      </c:catAx>
      <c:valAx>
        <c:axId val="374356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Baseline Net Impact</a:t>
                </a:r>
              </a:p>
            </c:rich>
          </c:tx>
          <c:layout>
            <c:manualLayout>
              <c:xMode val="edge"/>
              <c:yMode val="edge"/>
              <c:x val="2.5316545576730444E-2"/>
              <c:y val="8.2707161604799406E-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3372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- Comparisong of 3m3 Drum Normalised Impacts</a:t>
            </a:r>
          </a:p>
        </c:rich>
      </c:tx>
      <c:layout>
        <c:manualLayout>
          <c:xMode val="edge"/>
          <c:yMode val="edge"/>
          <c:x val="0.15639836687080783"/>
          <c:y val="3.073295296327236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579442578910504"/>
          <c:y val="0.21754348693892706"/>
          <c:w val="0.83551420932987008"/>
          <c:h val="0.34035029408187006"/>
        </c:manualLayout>
      </c:layout>
      <c:barChart>
        <c:barDir val="col"/>
        <c:grouping val="clustered"/>
        <c:ser>
          <c:idx val="1"/>
          <c:order val="1"/>
          <c:tx>
            <c:strRef>
              <c:f>'DNLEU Results'!$R$260</c:f>
              <c:strCache>
                <c:ptCount val="1"/>
                <c:pt idx="0">
                  <c:v>Package Impact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Results'!$P$261:$P$271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Results'!$R$261:$R$271</c:f>
              <c:numCache>
                <c:formatCode>0.00E+00</c:formatCode>
                <c:ptCount val="11"/>
                <c:pt idx="0">
                  <c:v>1620</c:v>
                </c:pt>
                <c:pt idx="1">
                  <c:v>8.9499999999999993</c:v>
                </c:pt>
                <c:pt idx="2">
                  <c:v>24100</c:v>
                </c:pt>
                <c:pt idx="3">
                  <c:v>3020</c:v>
                </c:pt>
                <c:pt idx="4">
                  <c:v>25.5</c:v>
                </c:pt>
                <c:pt idx="5">
                  <c:v>0.80700000000000005</c:v>
                </c:pt>
                <c:pt idx="6">
                  <c:v>10300</c:v>
                </c:pt>
                <c:pt idx="7">
                  <c:v>345</c:v>
                </c:pt>
                <c:pt idx="8">
                  <c:v>371</c:v>
                </c:pt>
                <c:pt idx="9">
                  <c:v>26400</c:v>
                </c:pt>
                <c:pt idx="10">
                  <c:v>14300</c:v>
                </c:pt>
              </c:numCache>
            </c:numRef>
          </c:val>
        </c:ser>
        <c:ser>
          <c:idx val="2"/>
          <c:order val="2"/>
          <c:tx>
            <c:strRef>
              <c:f>'DNLEU Results'!$S$260</c:f>
              <c:strCache>
                <c:ptCount val="1"/>
                <c:pt idx="0">
                  <c:v>Disposal Impact</c:v>
                </c:pt>
              </c:strCache>
            </c:strRef>
          </c:tx>
          <c:spPr>
            <a:gradFill rotWithShape="0">
              <a:gsLst>
                <a:gs pos="0">
                  <a:srgbClr val="993300"/>
                </a:gs>
                <a:gs pos="100000">
                  <a:srgbClr val="C18465"/>
                </a:gs>
              </a:gsLst>
              <a:lin ang="2700000" scaled="1"/>
            </a:gra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Results'!$P$261:$P$271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Results'!$S$261:$S$271</c:f>
              <c:numCache>
                <c:formatCode>General</c:formatCode>
                <c:ptCount val="11"/>
                <c:pt idx="0" formatCode="0.00E+00">
                  <c:v>17600</c:v>
                </c:pt>
                <c:pt idx="1">
                  <c:v>116</c:v>
                </c:pt>
                <c:pt idx="2" formatCode="0.00E+00">
                  <c:v>127000</c:v>
                </c:pt>
                <c:pt idx="3" formatCode="0.00E+00">
                  <c:v>30600</c:v>
                </c:pt>
                <c:pt idx="4" formatCode="0.00E+00">
                  <c:v>656</c:v>
                </c:pt>
                <c:pt idx="5">
                  <c:v>26.9</c:v>
                </c:pt>
                <c:pt idx="6" formatCode="0.00E+00">
                  <c:v>11300</c:v>
                </c:pt>
                <c:pt idx="7" formatCode="0.00E+00">
                  <c:v>4440</c:v>
                </c:pt>
                <c:pt idx="8" formatCode="0.00E+00">
                  <c:v>4140</c:v>
                </c:pt>
                <c:pt idx="9" formatCode="0.00E+00">
                  <c:v>32800</c:v>
                </c:pt>
                <c:pt idx="10" formatCode="0.00E+00">
                  <c:v>197000</c:v>
                </c:pt>
              </c:numCache>
            </c:numRef>
          </c:val>
        </c:ser>
        <c:axId val="37498880"/>
        <c:axId val="37501184"/>
      </c:barChart>
      <c:lineChart>
        <c:grouping val="standard"/>
        <c:ser>
          <c:idx val="0"/>
          <c:order val="0"/>
          <c:tx>
            <c:strRef>
              <c:f>'DNLEU Results'!$Q$260</c:f>
              <c:strCache>
                <c:ptCount val="1"/>
                <c:pt idx="0">
                  <c:v>Total Impact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'DNLEU Results'!$P$261:$P$271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Results'!$Q$261:$Q$271</c:f>
              <c:numCache>
                <c:formatCode>General</c:formatCode>
                <c:ptCount val="11"/>
                <c:pt idx="0" formatCode="0.00E+00">
                  <c:v>19200</c:v>
                </c:pt>
                <c:pt idx="1">
                  <c:v>125</c:v>
                </c:pt>
                <c:pt idx="2" formatCode="0.00E+00">
                  <c:v>151000</c:v>
                </c:pt>
                <c:pt idx="3" formatCode="0.00E+00">
                  <c:v>33600</c:v>
                </c:pt>
                <c:pt idx="4" formatCode="0.00E+00">
                  <c:v>681</c:v>
                </c:pt>
                <c:pt idx="5">
                  <c:v>27.7</c:v>
                </c:pt>
                <c:pt idx="6" formatCode="0.00E+00">
                  <c:v>21600</c:v>
                </c:pt>
                <c:pt idx="7" formatCode="0.00E+00">
                  <c:v>4790</c:v>
                </c:pt>
                <c:pt idx="8" formatCode="0.00E+00">
                  <c:v>4510</c:v>
                </c:pt>
                <c:pt idx="9" formatCode="0.00E+00">
                  <c:v>59100</c:v>
                </c:pt>
                <c:pt idx="10" formatCode="0.00E+00">
                  <c:v>211000</c:v>
                </c:pt>
              </c:numCache>
            </c:numRef>
          </c:val>
        </c:ser>
        <c:marker val="1"/>
        <c:axId val="37498880"/>
        <c:axId val="37501184"/>
      </c:lineChart>
      <c:catAx>
        <c:axId val="374988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8657283035698967"/>
              <c:y val="0.9078032740264125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01184"/>
        <c:crosses val="autoZero"/>
        <c:auto val="1"/>
        <c:lblAlgn val="ctr"/>
        <c:lblOffset val="100"/>
        <c:tickLblSkip val="1"/>
        <c:tickMarkSkip val="1"/>
      </c:catAx>
      <c:valAx>
        <c:axId val="375011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Values</a:t>
                </a:r>
              </a:p>
            </c:rich>
          </c:tx>
          <c:layout>
            <c:manualLayout>
              <c:xMode val="edge"/>
              <c:yMode val="edge"/>
              <c:x val="2.527644828710137E-2"/>
              <c:y val="0.29314492573304185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9888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896890343698854"/>
          <c:y val="0.10859740503637258"/>
          <c:w val="0.47135842880523732"/>
          <c:h val="7.692316190076391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- Comparison of 3m3 Drum Weighted Impacts</a:t>
            </a:r>
          </a:p>
        </c:rich>
      </c:tx>
      <c:layout>
        <c:manualLayout>
          <c:xMode val="edge"/>
          <c:yMode val="edge"/>
          <c:x val="0.15630274495074828"/>
          <c:y val="3.296702353622690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338586603260599"/>
          <c:y val="0.24291509980859205"/>
          <c:w val="0.81692933016302915"/>
          <c:h val="0.2672066097894511"/>
        </c:manualLayout>
      </c:layout>
      <c:barChart>
        <c:barDir val="col"/>
        <c:grouping val="clustered"/>
        <c:ser>
          <c:idx val="1"/>
          <c:order val="1"/>
          <c:tx>
            <c:strRef>
              <c:f>'DNLEU Results'!$R$281</c:f>
              <c:strCache>
                <c:ptCount val="1"/>
                <c:pt idx="0">
                  <c:v>Package Impact</c:v>
                </c:pt>
              </c:strCache>
            </c:strRef>
          </c:tx>
          <c:spPr>
            <a:pattFill prst="wdUpDiag">
              <a:fgClr>
                <a:srgbClr val="FF66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Results'!$P$282:$P$292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Results'!$R$282:$R$292</c:f>
              <c:numCache>
                <c:formatCode>0.00</c:formatCode>
                <c:ptCount val="11"/>
                <c:pt idx="0">
                  <c:v>0.20249999999999999</c:v>
                </c:pt>
                <c:pt idx="1">
                  <c:v>1.11875E-3</c:v>
                </c:pt>
                <c:pt idx="2">
                  <c:v>3.015625</c:v>
                </c:pt>
                <c:pt idx="3">
                  <c:v>0.37812499999999999</c:v>
                </c:pt>
                <c:pt idx="4">
                  <c:v>3.1875000000000002E-3</c:v>
                </c:pt>
                <c:pt idx="5">
                  <c:v>1.0093749999999999E-4</c:v>
                </c:pt>
                <c:pt idx="6">
                  <c:v>1.2906249999999999</c:v>
                </c:pt>
                <c:pt idx="7">
                  <c:v>4.3124999999999997E-2</c:v>
                </c:pt>
                <c:pt idx="8">
                  <c:v>4.65625E-2</c:v>
                </c:pt>
                <c:pt idx="9">
                  <c:v>1.6468750000000001</c:v>
                </c:pt>
                <c:pt idx="10">
                  <c:v>0.89374999999999993</c:v>
                </c:pt>
              </c:numCache>
            </c:numRef>
          </c:val>
        </c:ser>
        <c:ser>
          <c:idx val="2"/>
          <c:order val="2"/>
          <c:tx>
            <c:strRef>
              <c:f>'DNLEU Results'!$S$281</c:f>
              <c:strCache>
                <c:ptCount val="1"/>
                <c:pt idx="0">
                  <c:v>Disposal Impact</c:v>
                </c:pt>
              </c:strCache>
            </c:strRef>
          </c:tx>
          <c:spPr>
            <a:pattFill prst="wdDnDiag">
              <a:fgClr>
                <a:srgbClr val="9933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Results'!$P$282:$P$292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Results'!$S$282:$S$292</c:f>
              <c:numCache>
                <c:formatCode>0.00</c:formatCode>
                <c:ptCount val="11"/>
                <c:pt idx="0">
                  <c:v>2.1999999999999997</c:v>
                </c:pt>
                <c:pt idx="1">
                  <c:v>1.4500000000000001E-2</c:v>
                </c:pt>
                <c:pt idx="2">
                  <c:v>15.937499999999998</c:v>
                </c:pt>
                <c:pt idx="3">
                  <c:v>3.78125</c:v>
                </c:pt>
                <c:pt idx="4">
                  <c:v>8.2187499999999997E-2</c:v>
                </c:pt>
                <c:pt idx="5">
                  <c:v>3.375E-3</c:v>
                </c:pt>
                <c:pt idx="6">
                  <c:v>1.40625</c:v>
                </c:pt>
                <c:pt idx="7">
                  <c:v>0.55625000000000002</c:v>
                </c:pt>
                <c:pt idx="8">
                  <c:v>0.51875000000000004</c:v>
                </c:pt>
                <c:pt idx="9">
                  <c:v>2.0500000000000003</c:v>
                </c:pt>
                <c:pt idx="10">
                  <c:v>12.3125</c:v>
                </c:pt>
              </c:numCache>
            </c:numRef>
          </c:val>
        </c:ser>
        <c:axId val="37548032"/>
        <c:axId val="37550336"/>
      </c:barChart>
      <c:lineChart>
        <c:grouping val="standard"/>
        <c:ser>
          <c:idx val="0"/>
          <c:order val="0"/>
          <c:tx>
            <c:strRef>
              <c:f>'DNLEU Results'!$Q$281</c:f>
              <c:strCache>
                <c:ptCount val="1"/>
                <c:pt idx="0">
                  <c:v>Total Impact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'DNLEU Results'!$P$282:$P$292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Results'!$Q$282:$Q$292</c:f>
              <c:numCache>
                <c:formatCode>0.00</c:formatCode>
                <c:ptCount val="11"/>
                <c:pt idx="0">
                  <c:v>2.4031250000000002</c:v>
                </c:pt>
                <c:pt idx="1">
                  <c:v>1.5625E-2</c:v>
                </c:pt>
                <c:pt idx="2">
                  <c:v>18.9375</c:v>
                </c:pt>
                <c:pt idx="3">
                  <c:v>4.1875</c:v>
                </c:pt>
                <c:pt idx="4">
                  <c:v>8.4999999999999992E-2</c:v>
                </c:pt>
                <c:pt idx="5">
                  <c:v>3.4687500000000005E-3</c:v>
                </c:pt>
                <c:pt idx="6">
                  <c:v>2.6968749999999999</c:v>
                </c:pt>
                <c:pt idx="7">
                  <c:v>0.6</c:v>
                </c:pt>
                <c:pt idx="8">
                  <c:v>0.5625</c:v>
                </c:pt>
                <c:pt idx="9">
                  <c:v>3.6875</c:v>
                </c:pt>
                <c:pt idx="10">
                  <c:v>13.1875</c:v>
                </c:pt>
              </c:numCache>
            </c:numRef>
          </c:val>
        </c:ser>
        <c:marker val="1"/>
        <c:axId val="37548032"/>
        <c:axId val="37550336"/>
      </c:lineChart>
      <c:catAx>
        <c:axId val="37548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6554650856036522"/>
              <c:y val="0.8956055697397499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50336"/>
        <c:crosses val="autoZero"/>
        <c:auto val="1"/>
        <c:lblAlgn val="ctr"/>
        <c:lblOffset val="100"/>
        <c:tickLblSkip val="1"/>
        <c:tickMarkSkip val="1"/>
      </c:catAx>
      <c:valAx>
        <c:axId val="375503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Baseline Net Impact</a:t>
                </a:r>
              </a:p>
            </c:rich>
          </c:tx>
          <c:layout>
            <c:manualLayout>
              <c:xMode val="edge"/>
              <c:yMode val="edge"/>
              <c:x val="2.6890769829239828E-2"/>
              <c:y val="0.2087914351305541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4803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560477001703576"/>
          <c:y val="0.11716621253405994"/>
          <c:w val="0.47529812606473593"/>
          <c:h val="8.719346049046321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DNLEU - Mixed LTIS with Stainless Steel Overpacks </a:t>
            </a:r>
          </a:p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for HAW Disposal  </a:t>
            </a:r>
          </a:p>
        </c:rich>
      </c:tx>
      <c:layout>
        <c:manualLayout>
          <c:xMode val="edge"/>
          <c:yMode val="edge"/>
          <c:x val="0.17261937980766662"/>
          <c:y val="3.642380545805268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452198002943303"/>
          <c:y val="0.19617190507034798"/>
          <c:w val="0.82983588533029506"/>
          <c:h val="0.28708083668831402"/>
        </c:manualLayout>
      </c:layout>
      <c:barChart>
        <c:barDir val="col"/>
        <c:grouping val="clustered"/>
        <c:ser>
          <c:idx val="0"/>
          <c:order val="0"/>
          <c:tx>
            <c:strRef>
              <c:f>'DNLEU Results'!$B$3</c:f>
              <c:strCache>
                <c:ptCount val="1"/>
                <c:pt idx="0">
                  <c:v>DDS6 Overpacked DNLEU as HAW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Results'!$A$4:$A$21</c:f>
              <c:strCache>
                <c:ptCount val="18"/>
                <c:pt idx="0">
                  <c:v>UUK DV70s</c:v>
                </c:pt>
                <c:pt idx="1">
                  <c:v>CNS(48) DV70s</c:v>
                </c:pt>
                <c:pt idx="2">
                  <c:v>CNS(236) DV70s</c:v>
                </c:pt>
                <c:pt idx="3">
                  <c:v>CNS(MDU) 200l Drums</c:v>
                </c:pt>
                <c:pt idx="4">
                  <c:v>Sella (TPU) 50l Drums</c:v>
                </c:pt>
                <c:pt idx="5">
                  <c:v>Misc (UO3) 200l Drums</c:v>
                </c:pt>
                <c:pt idx="6">
                  <c:v>UUK 4m boxes</c:v>
                </c:pt>
                <c:pt idx="7">
                  <c:v>CNS(48) 4m boxes</c:v>
                </c:pt>
                <c:pt idx="8">
                  <c:v>CNS(236)) 4m boxes</c:v>
                </c:pt>
                <c:pt idx="9">
                  <c:v>CNS(MDU) 4m boxes</c:v>
                </c:pt>
                <c:pt idx="10">
                  <c:v>Sella (TPU) FHISOs</c:v>
                </c:pt>
                <c:pt idx="11">
                  <c:v>Misc (UO3) 4m Boxes</c:v>
                </c:pt>
                <c:pt idx="12">
                  <c:v>UUK Disposal</c:v>
                </c:pt>
                <c:pt idx="13">
                  <c:v>CNS(48) Disposal</c:v>
                </c:pt>
                <c:pt idx="14">
                  <c:v>CNS(236) Disposal</c:v>
                </c:pt>
                <c:pt idx="15">
                  <c:v>CNS(MDU) Disposal</c:v>
                </c:pt>
                <c:pt idx="16">
                  <c:v>Sella (TPU) Disposal</c:v>
                </c:pt>
                <c:pt idx="17">
                  <c:v>Misc (UO3) Disposal</c:v>
                </c:pt>
              </c:strCache>
            </c:strRef>
          </c:cat>
          <c:val>
            <c:numRef>
              <c:f>'DNLEU Results'!$B$4:$B$21</c:f>
              <c:numCache>
                <c:formatCode>0.00</c:formatCode>
                <c:ptCount val="18"/>
                <c:pt idx="0">
                  <c:v>0.83125000000000004</c:v>
                </c:pt>
                <c:pt idx="1">
                  <c:v>0.15562499999999999</c:v>
                </c:pt>
                <c:pt idx="2">
                  <c:v>5.1874999999999998E-2</c:v>
                </c:pt>
                <c:pt idx="3">
                  <c:v>0.60625000000000007</c:v>
                </c:pt>
                <c:pt idx="4">
                  <c:v>0.10843750000000001</c:v>
                </c:pt>
                <c:pt idx="5">
                  <c:v>4.0312500000000001E-2</c:v>
                </c:pt>
                <c:pt idx="6">
                  <c:v>12.812499999999998</c:v>
                </c:pt>
                <c:pt idx="7">
                  <c:v>2.4</c:v>
                </c:pt>
                <c:pt idx="8">
                  <c:v>0.8</c:v>
                </c:pt>
                <c:pt idx="9">
                  <c:v>3.8125</c:v>
                </c:pt>
                <c:pt idx="10">
                  <c:v>0.203125</c:v>
                </c:pt>
                <c:pt idx="11">
                  <c:v>0.25312499999999999</c:v>
                </c:pt>
                <c:pt idx="12">
                  <c:v>61.875</c:v>
                </c:pt>
                <c:pt idx="13">
                  <c:v>11.59375</c:v>
                </c:pt>
                <c:pt idx="14">
                  <c:v>3.875</c:v>
                </c:pt>
                <c:pt idx="15">
                  <c:v>18.3125</c:v>
                </c:pt>
                <c:pt idx="16">
                  <c:v>7.6562500000000009</c:v>
                </c:pt>
                <c:pt idx="17">
                  <c:v>1.23125</c:v>
                </c:pt>
              </c:numCache>
            </c:numRef>
          </c:val>
        </c:ser>
        <c:axId val="37599104"/>
        <c:axId val="37609472"/>
      </c:barChart>
      <c:catAx>
        <c:axId val="375991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Product Stages and Process</a:t>
                </a:r>
              </a:p>
            </c:rich>
          </c:tx>
          <c:layout>
            <c:manualLayout>
              <c:xMode val="edge"/>
              <c:yMode val="edge"/>
              <c:x val="0.42261986090842518"/>
              <c:y val="0.880794990987572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09472"/>
        <c:crosses val="autoZero"/>
        <c:auto val="1"/>
        <c:lblAlgn val="ctr"/>
        <c:lblOffset val="100"/>
        <c:tickLblSkip val="1"/>
        <c:tickMarkSkip val="1"/>
      </c:catAx>
      <c:valAx>
        <c:axId val="376094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Baseline Net Impact</a:t>
                </a:r>
              </a:p>
            </c:rich>
          </c:tx>
          <c:layout>
            <c:manualLayout>
              <c:xMode val="edge"/>
              <c:yMode val="edge"/>
              <c:x val="3.1746021564005113E-2"/>
              <c:y val="0.1490064193783006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9910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- Mixed LTIS with Stainless Steel Overpacks for LLW Disposal</a:t>
            </a:r>
          </a:p>
        </c:rich>
      </c:tx>
      <c:layout>
        <c:manualLayout>
          <c:xMode val="edge"/>
          <c:yMode val="edge"/>
          <c:x val="0.14669429479209836"/>
          <c:y val="3.70372085842210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628293079903304"/>
          <c:y val="0.16167700124482798"/>
          <c:w val="0.82973596813878014"/>
          <c:h val="0.269461668741379"/>
        </c:manualLayout>
      </c:layout>
      <c:barChart>
        <c:barDir val="col"/>
        <c:grouping val="clustered"/>
        <c:ser>
          <c:idx val="1"/>
          <c:order val="0"/>
          <c:tx>
            <c:strRef>
              <c:f>'DNLEU Results'!$C$3</c:f>
              <c:strCache>
                <c:ptCount val="1"/>
                <c:pt idx="0">
                  <c:v>SDS1 Overpacked DNLEU as LLW (SS)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Results'!$A$4:$A$21</c:f>
              <c:strCache>
                <c:ptCount val="18"/>
                <c:pt idx="0">
                  <c:v>UUK DV70s</c:v>
                </c:pt>
                <c:pt idx="1">
                  <c:v>CNS(48) DV70s</c:v>
                </c:pt>
                <c:pt idx="2">
                  <c:v>CNS(236) DV70s</c:v>
                </c:pt>
                <c:pt idx="3">
                  <c:v>CNS(MDU) 200l Drums</c:v>
                </c:pt>
                <c:pt idx="4">
                  <c:v>Sella (TPU) 50l Drums</c:v>
                </c:pt>
                <c:pt idx="5">
                  <c:v>Misc (UO3) 200l Drums</c:v>
                </c:pt>
                <c:pt idx="6">
                  <c:v>UUK 4m boxes</c:v>
                </c:pt>
                <c:pt idx="7">
                  <c:v>CNS(48) 4m boxes</c:v>
                </c:pt>
                <c:pt idx="8">
                  <c:v>CNS(236)) 4m boxes</c:v>
                </c:pt>
                <c:pt idx="9">
                  <c:v>CNS(MDU) 4m boxes</c:v>
                </c:pt>
                <c:pt idx="10">
                  <c:v>Sella (TPU) FHISOs</c:v>
                </c:pt>
                <c:pt idx="11">
                  <c:v>Misc (UO3) 4m Boxes</c:v>
                </c:pt>
                <c:pt idx="12">
                  <c:v>UUK Disposal</c:v>
                </c:pt>
                <c:pt idx="13">
                  <c:v>CNS(48) Disposal</c:v>
                </c:pt>
                <c:pt idx="14">
                  <c:v>CNS(236) Disposal</c:v>
                </c:pt>
                <c:pt idx="15">
                  <c:v>CNS(MDU) Disposal</c:v>
                </c:pt>
                <c:pt idx="16">
                  <c:v>Sella (TPU) Disposal</c:v>
                </c:pt>
                <c:pt idx="17">
                  <c:v>Misc (UO3) Disposal</c:v>
                </c:pt>
              </c:strCache>
            </c:strRef>
          </c:cat>
          <c:val>
            <c:numRef>
              <c:f>'DNLEU Results'!$C$4:$C$21</c:f>
              <c:numCache>
                <c:formatCode>0.00</c:formatCode>
                <c:ptCount val="18"/>
                <c:pt idx="0">
                  <c:v>0.83125000000000004</c:v>
                </c:pt>
                <c:pt idx="1">
                  <c:v>0.15562499999999999</c:v>
                </c:pt>
                <c:pt idx="2">
                  <c:v>5.1874999999999998E-2</c:v>
                </c:pt>
                <c:pt idx="3">
                  <c:v>0.60625000000000007</c:v>
                </c:pt>
                <c:pt idx="4">
                  <c:v>0.10843750000000001</c:v>
                </c:pt>
                <c:pt idx="5">
                  <c:v>4.0312500000000001E-2</c:v>
                </c:pt>
                <c:pt idx="6">
                  <c:v>12.812499999999998</c:v>
                </c:pt>
                <c:pt idx="7">
                  <c:v>2.4</c:v>
                </c:pt>
                <c:pt idx="8">
                  <c:v>0.8</c:v>
                </c:pt>
                <c:pt idx="9">
                  <c:v>3.8125</c:v>
                </c:pt>
                <c:pt idx="10">
                  <c:v>0.203125</c:v>
                </c:pt>
                <c:pt idx="11">
                  <c:v>0.25312499999999999</c:v>
                </c:pt>
                <c:pt idx="12">
                  <c:v>6.03125</c:v>
                </c:pt>
                <c:pt idx="13">
                  <c:v>1.128125</c:v>
                </c:pt>
                <c:pt idx="14">
                  <c:v>0.375</c:v>
                </c:pt>
                <c:pt idx="15">
                  <c:v>1.7874999999999999</c:v>
                </c:pt>
                <c:pt idx="16">
                  <c:v>0.75624999999999998</c:v>
                </c:pt>
                <c:pt idx="17">
                  <c:v>0.12</c:v>
                </c:pt>
              </c:numCache>
            </c:numRef>
          </c:val>
        </c:ser>
        <c:axId val="37617024"/>
        <c:axId val="37631488"/>
      </c:barChart>
      <c:catAx>
        <c:axId val="376170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Product Stages and Processes</a:t>
                </a:r>
              </a:p>
            </c:rich>
          </c:tx>
          <c:layout>
            <c:manualLayout>
              <c:xMode val="edge"/>
              <c:yMode val="edge"/>
              <c:x val="0.40495913800248656"/>
              <c:y val="0.8666697545159797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31488"/>
        <c:crosses val="autoZero"/>
        <c:auto val="1"/>
        <c:lblAlgn val="ctr"/>
        <c:lblOffset val="100"/>
        <c:tickLblSkip val="1"/>
        <c:tickMarkSkip val="1"/>
      </c:catAx>
      <c:valAx>
        <c:axId val="376314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Baseline Net Impact</a:t>
                </a:r>
              </a:p>
            </c:rich>
          </c:tx>
          <c:layout>
            <c:manualLayout>
              <c:xMode val="edge"/>
              <c:yMode val="edge"/>
              <c:x val="3.3057825666528526E-2"/>
              <c:y val="0.11851899027327466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1702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DNLEU - Mixed LTIS with Carbon Steel Overpacks for LLW Disposal  </a:t>
            </a:r>
          </a:p>
        </c:rich>
      </c:tx>
      <c:layout>
        <c:manualLayout>
          <c:xMode val="edge"/>
          <c:yMode val="edge"/>
          <c:x val="0.11250020808709693"/>
          <c:y val="3.536970500046717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734308205901503"/>
          <c:y val="0.12307661489229001"/>
          <c:w val="0.82608744367513209"/>
          <c:h val="0.29230696036919013"/>
        </c:manualLayout>
      </c:layout>
      <c:barChart>
        <c:barDir val="col"/>
        <c:grouping val="clustered"/>
        <c:ser>
          <c:idx val="2"/>
          <c:order val="0"/>
          <c:tx>
            <c:strRef>
              <c:f>'DNLEU Results'!$D$3</c:f>
              <c:strCache>
                <c:ptCount val="1"/>
                <c:pt idx="0">
                  <c:v>SDS2 Overpacked DNLEU as LLW (CS)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Results'!$A$4:$A$21</c:f>
              <c:strCache>
                <c:ptCount val="18"/>
                <c:pt idx="0">
                  <c:v>UUK DV70s</c:v>
                </c:pt>
                <c:pt idx="1">
                  <c:v>CNS(48) DV70s</c:v>
                </c:pt>
                <c:pt idx="2">
                  <c:v>CNS(236) DV70s</c:v>
                </c:pt>
                <c:pt idx="3">
                  <c:v>CNS(MDU) 200l Drums</c:v>
                </c:pt>
                <c:pt idx="4">
                  <c:v>Sella (TPU) 50l Drums</c:v>
                </c:pt>
                <c:pt idx="5">
                  <c:v>Misc (UO3) 200l Drums</c:v>
                </c:pt>
                <c:pt idx="6">
                  <c:v>UUK 4m boxes</c:v>
                </c:pt>
                <c:pt idx="7">
                  <c:v>CNS(48) 4m boxes</c:v>
                </c:pt>
                <c:pt idx="8">
                  <c:v>CNS(236)) 4m boxes</c:v>
                </c:pt>
                <c:pt idx="9">
                  <c:v>CNS(MDU) 4m boxes</c:v>
                </c:pt>
                <c:pt idx="10">
                  <c:v>Sella (TPU) FHISOs</c:v>
                </c:pt>
                <c:pt idx="11">
                  <c:v>Misc (UO3) 4m Boxes</c:v>
                </c:pt>
                <c:pt idx="12">
                  <c:v>UUK Disposal</c:v>
                </c:pt>
                <c:pt idx="13">
                  <c:v>CNS(48) Disposal</c:v>
                </c:pt>
                <c:pt idx="14">
                  <c:v>CNS(236) Disposal</c:v>
                </c:pt>
                <c:pt idx="15">
                  <c:v>CNS(MDU) Disposal</c:v>
                </c:pt>
                <c:pt idx="16">
                  <c:v>Sella (TPU) Disposal</c:v>
                </c:pt>
                <c:pt idx="17">
                  <c:v>Misc (UO3) Disposal</c:v>
                </c:pt>
              </c:strCache>
            </c:strRef>
          </c:cat>
          <c:val>
            <c:numRef>
              <c:f>'DNLEU Results'!$D$4:$D$21</c:f>
              <c:numCache>
                <c:formatCode>0.00</c:formatCode>
                <c:ptCount val="18"/>
                <c:pt idx="0">
                  <c:v>0.83125000000000004</c:v>
                </c:pt>
                <c:pt idx="1">
                  <c:v>0.15562499999999999</c:v>
                </c:pt>
                <c:pt idx="2">
                  <c:v>5.1874999999999998E-2</c:v>
                </c:pt>
                <c:pt idx="3">
                  <c:v>0.60625000000000007</c:v>
                </c:pt>
                <c:pt idx="4">
                  <c:v>0.10843750000000001</c:v>
                </c:pt>
                <c:pt idx="5">
                  <c:v>4.0312500000000001E-2</c:v>
                </c:pt>
                <c:pt idx="6">
                  <c:v>2.3250000000000002</c:v>
                </c:pt>
                <c:pt idx="7">
                  <c:v>0.43750000000000006</c:v>
                </c:pt>
                <c:pt idx="8">
                  <c:v>0.14531250000000001</c:v>
                </c:pt>
                <c:pt idx="9">
                  <c:v>0.69062500000000004</c:v>
                </c:pt>
                <c:pt idx="10">
                  <c:v>0.203125</c:v>
                </c:pt>
                <c:pt idx="11">
                  <c:v>4.5937499999999999E-2</c:v>
                </c:pt>
                <c:pt idx="12">
                  <c:v>6</c:v>
                </c:pt>
                <c:pt idx="13">
                  <c:v>1.125</c:v>
                </c:pt>
                <c:pt idx="14">
                  <c:v>0.375</c:v>
                </c:pt>
                <c:pt idx="15">
                  <c:v>1.7812499999999998</c:v>
                </c:pt>
                <c:pt idx="16">
                  <c:v>0.75624999999999998</c:v>
                </c:pt>
                <c:pt idx="17">
                  <c:v>0.1225</c:v>
                </c:pt>
              </c:numCache>
            </c:numRef>
          </c:val>
        </c:ser>
        <c:axId val="37667968"/>
        <c:axId val="37669888"/>
      </c:barChart>
      <c:catAx>
        <c:axId val="376679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Product Stages and Processes</a:t>
                </a:r>
              </a:p>
            </c:rich>
          </c:tx>
          <c:layout>
            <c:manualLayout>
              <c:xMode val="edge"/>
              <c:yMode val="edge"/>
              <c:x val="0.40416751288752756"/>
              <c:y val="0.8842446635918083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9888"/>
        <c:crosses val="autoZero"/>
        <c:auto val="1"/>
        <c:lblAlgn val="ctr"/>
        <c:lblOffset val="100"/>
        <c:tickLblSkip val="1"/>
        <c:tickMarkSkip val="1"/>
      </c:catAx>
      <c:valAx>
        <c:axId val="376698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Baseline Net Impact</a:t>
                </a:r>
              </a:p>
            </c:rich>
          </c:tx>
          <c:layout>
            <c:manualLayout>
              <c:xMode val="edge"/>
              <c:yMode val="edge"/>
              <c:x val="3.3333444313118361E-2"/>
              <c:y val="0.1286174179683850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796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512817222300302"/>
          <c:y val="0.21226451761126403"/>
          <c:w val="0.87179459892246403"/>
          <c:h val="0.54717075650903613"/>
        </c:manualLayout>
      </c:layout>
      <c:barChart>
        <c:barDir val="col"/>
        <c:grouping val="clustered"/>
        <c:ser>
          <c:idx val="0"/>
          <c:order val="0"/>
          <c:tx>
            <c:strRef>
              <c:f>'DNLEU Results'!$B$279</c:f>
              <c:strCache>
                <c:ptCount val="1"/>
                <c:pt idx="0">
                  <c:v>DDS1 500l Drum (Baseline)</c:v>
                </c:pt>
              </c:strCache>
            </c:strRef>
          </c:tx>
          <c:spPr>
            <a:solidFill>
              <a:srgbClr val="7CC861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GB"/>
                </a:pPr>
                <a:endParaRPr lang="en-US"/>
              </a:p>
            </c:txPr>
            <c:showVal val="1"/>
          </c:dLbls>
          <c:cat>
            <c:strRef>
              <c:f>'DNLEU Results'!$A$280:$A$282</c:f>
              <c:strCache>
                <c:ptCount val="3"/>
                <c:pt idx="0">
                  <c:v>Impact of Interim Storage Package </c:v>
                </c:pt>
                <c:pt idx="1">
                  <c:v>Impact of Disposal Package </c:v>
                </c:pt>
                <c:pt idx="2">
                  <c:v>Disposal Impact</c:v>
                </c:pt>
              </c:strCache>
            </c:strRef>
          </c:cat>
          <c:val>
            <c:numRef>
              <c:f>'DNLEU Results'!$B$280:$B$282</c:f>
              <c:numCache>
                <c:formatCode>0.0</c:formatCode>
                <c:ptCount val="3"/>
                <c:pt idx="0">
                  <c:v>1.35</c:v>
                </c:pt>
                <c:pt idx="1">
                  <c:v>30.312499999999996</c:v>
                </c:pt>
                <c:pt idx="2">
                  <c:v>68.125</c:v>
                </c:pt>
              </c:numCache>
            </c:numRef>
          </c:val>
        </c:ser>
        <c:ser>
          <c:idx val="1"/>
          <c:order val="1"/>
          <c:tx>
            <c:strRef>
              <c:f>'DNLEU Results'!$C$279</c:f>
              <c:strCache>
                <c:ptCount val="1"/>
                <c:pt idx="0">
                  <c:v>DDS2 HHISO/Liner</c:v>
                </c:pt>
              </c:strCache>
            </c:strRef>
          </c:tx>
          <c:spPr>
            <a:solidFill>
              <a:srgbClr val="FFB143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0"/>
                  <c:y val="-2.9661016949152508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GB"/>
                </a:pPr>
                <a:endParaRPr lang="en-US"/>
              </a:p>
            </c:txPr>
            <c:showVal val="1"/>
          </c:dLbls>
          <c:cat>
            <c:strRef>
              <c:f>'DNLEU Results'!$A$280:$A$282</c:f>
              <c:strCache>
                <c:ptCount val="3"/>
                <c:pt idx="0">
                  <c:v>Impact of Interim Storage Package </c:v>
                </c:pt>
                <c:pt idx="1">
                  <c:v>Impact of Disposal Package </c:v>
                </c:pt>
                <c:pt idx="2">
                  <c:v>Disposal Impact</c:v>
                </c:pt>
              </c:strCache>
            </c:strRef>
          </c:cat>
          <c:val>
            <c:numRef>
              <c:f>'DNLEU Results'!$C$280:$C$282</c:f>
              <c:numCache>
                <c:formatCode>0.0</c:formatCode>
                <c:ptCount val="3"/>
                <c:pt idx="0">
                  <c:v>1.35</c:v>
                </c:pt>
                <c:pt idx="1">
                  <c:v>3.84375</c:v>
                </c:pt>
                <c:pt idx="2">
                  <c:v>54.374999999999993</c:v>
                </c:pt>
              </c:numCache>
            </c:numRef>
          </c:val>
        </c:ser>
        <c:ser>
          <c:idx val="2"/>
          <c:order val="2"/>
          <c:tx>
            <c:strRef>
              <c:f>'DNLEU Results'!$D$279</c:f>
              <c:strCache>
                <c:ptCount val="1"/>
                <c:pt idx="0">
                  <c:v>DDS3 Grouted 4m Box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GB"/>
                </a:pPr>
                <a:endParaRPr lang="en-US"/>
              </a:p>
            </c:txPr>
            <c:showVal val="1"/>
          </c:dLbls>
          <c:cat>
            <c:strRef>
              <c:f>'DNLEU Results'!$A$280:$A$282</c:f>
              <c:strCache>
                <c:ptCount val="3"/>
                <c:pt idx="0">
                  <c:v>Impact of Interim Storage Package </c:v>
                </c:pt>
                <c:pt idx="1">
                  <c:v>Impact of Disposal Package </c:v>
                </c:pt>
                <c:pt idx="2">
                  <c:v>Disposal Impact</c:v>
                </c:pt>
              </c:strCache>
            </c:strRef>
          </c:cat>
          <c:val>
            <c:numRef>
              <c:f>'DNLEU Results'!$D$280:$D$282</c:f>
              <c:numCache>
                <c:formatCode>0.0</c:formatCode>
                <c:ptCount val="3"/>
                <c:pt idx="0">
                  <c:v>1.35</c:v>
                </c:pt>
                <c:pt idx="1">
                  <c:v>17.65625</c:v>
                </c:pt>
                <c:pt idx="2">
                  <c:v>86.25</c:v>
                </c:pt>
              </c:numCache>
            </c:numRef>
          </c:val>
        </c:ser>
        <c:ser>
          <c:idx val="3"/>
          <c:order val="3"/>
          <c:tx>
            <c:strRef>
              <c:f>'DNLEU Results'!$E$279</c:f>
              <c:strCache>
                <c:ptCount val="1"/>
                <c:pt idx="0">
                  <c:v>DDS4 200l Drums in 4m Box </c:v>
                </c:pt>
              </c:strCache>
            </c:strRef>
          </c:tx>
          <c:spPr>
            <a:solidFill>
              <a:srgbClr val="9D56AB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5.9731214239168925E-3"/>
                  <c:y val="-2.5423728813559206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GB"/>
                </a:pPr>
                <a:endParaRPr lang="en-US"/>
              </a:p>
            </c:txPr>
            <c:showVal val="1"/>
          </c:dLbls>
          <c:cat>
            <c:strRef>
              <c:f>'DNLEU Results'!$A$280:$A$282</c:f>
              <c:strCache>
                <c:ptCount val="3"/>
                <c:pt idx="0">
                  <c:v>Impact of Interim Storage Package </c:v>
                </c:pt>
                <c:pt idx="1">
                  <c:v>Impact of Disposal Package </c:v>
                </c:pt>
                <c:pt idx="2">
                  <c:v>Disposal Impact</c:v>
                </c:pt>
              </c:strCache>
            </c:strRef>
          </c:cat>
          <c:val>
            <c:numRef>
              <c:f>'DNLEU Results'!$E$280:$E$282</c:f>
              <c:numCache>
                <c:formatCode>0.0</c:formatCode>
                <c:ptCount val="3"/>
                <c:pt idx="0">
                  <c:v>1.35</c:v>
                </c:pt>
                <c:pt idx="1">
                  <c:v>11.84375</c:v>
                </c:pt>
                <c:pt idx="2">
                  <c:v>38.314375000000005</c:v>
                </c:pt>
              </c:numCache>
            </c:numRef>
          </c:val>
        </c:ser>
        <c:ser>
          <c:idx val="4"/>
          <c:order val="4"/>
          <c:tx>
            <c:strRef>
              <c:f>'DNLEU Results'!$F$279</c:f>
              <c:strCache>
                <c:ptCount val="1"/>
                <c:pt idx="0">
                  <c:v>DDS5 3m3 Drum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932803559792204E-2"/>
                  <c:y val="7.768271842181767E-17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090592498370911E-2"/>
                  <c:y val="1.2711864406779703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0"/>
                  <c:y val="-5.0847457627118606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GB"/>
                </a:pPr>
                <a:endParaRPr lang="en-US"/>
              </a:p>
            </c:txPr>
            <c:showVal val="1"/>
          </c:dLbls>
          <c:cat>
            <c:strRef>
              <c:f>'DNLEU Results'!$A$280:$A$282</c:f>
              <c:strCache>
                <c:ptCount val="3"/>
                <c:pt idx="0">
                  <c:v>Impact of Interim Storage Package </c:v>
                </c:pt>
                <c:pt idx="1">
                  <c:v>Impact of Disposal Package </c:v>
                </c:pt>
                <c:pt idx="2">
                  <c:v>Disposal Impact</c:v>
                </c:pt>
              </c:strCache>
            </c:strRef>
          </c:cat>
          <c:val>
            <c:numRef>
              <c:f>'DNLEU Results'!$F$280:$F$282</c:f>
              <c:numCache>
                <c:formatCode>0.0</c:formatCode>
                <c:ptCount val="3"/>
                <c:pt idx="0">
                  <c:v>1.35</c:v>
                </c:pt>
                <c:pt idx="1">
                  <c:v>6.15625</c:v>
                </c:pt>
                <c:pt idx="2">
                  <c:v>38.889375000000001</c:v>
                </c:pt>
              </c:numCache>
            </c:numRef>
          </c:val>
        </c:ser>
        <c:axId val="37758848"/>
        <c:axId val="37785600"/>
      </c:barChart>
      <c:catAx>
        <c:axId val="377588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0"/>
                  <a:t>Product Stages and Processes</a:t>
                </a:r>
              </a:p>
            </c:rich>
          </c:tx>
          <c:layout>
            <c:manualLayout>
              <c:xMode val="edge"/>
              <c:yMode val="edge"/>
              <c:x val="0.38574529993705542"/>
              <c:y val="0.8888912915736280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85600"/>
        <c:crosses val="autoZero"/>
        <c:auto val="1"/>
        <c:lblAlgn val="ctr"/>
        <c:lblOffset val="100"/>
        <c:tickLblSkip val="1"/>
        <c:tickMarkSkip val="1"/>
      </c:catAx>
      <c:valAx>
        <c:axId val="377856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0"/>
                  <a:t>Percentage of Total Baseline  Impact</a:t>
                </a:r>
              </a:p>
            </c:rich>
          </c:tx>
          <c:layout>
            <c:manualLayout>
              <c:xMode val="edge"/>
              <c:yMode val="edge"/>
              <c:x val="1.5624042469804396E-2"/>
              <c:y val="0.175456261997101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5884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5972850678733032E-2"/>
          <c:y val="2.6865671641791045E-2"/>
          <c:w val="0.83257918552036203"/>
          <c:h val="0.1671641791044776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n-GB"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6746416373780604"/>
          <c:y val="0.19576744864966802"/>
          <c:w val="0.81100502153023102"/>
          <c:h val="0.37566186092233605"/>
        </c:manualLayout>
      </c:layout>
      <c:lineChart>
        <c:grouping val="standard"/>
        <c:ser>
          <c:idx val="0"/>
          <c:order val="0"/>
          <c:tx>
            <c:strRef>
              <c:f>'DNLEU Results'!$B$290</c:f>
              <c:strCache>
                <c:ptCount val="1"/>
                <c:pt idx="0">
                  <c:v>DDS1 500l Drum (Baseline) 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'DNLEU Results'!$A$291:$A$301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Results'!$B$291:$B$301</c:f>
              <c:numCache>
                <c:formatCode>General</c:formatCode>
                <c:ptCount val="11"/>
                <c:pt idx="0" formatCode="0.00E+00">
                  <c:v>37700</c:v>
                </c:pt>
                <c:pt idx="1">
                  <c:v>234</c:v>
                </c:pt>
                <c:pt idx="2" formatCode="0.00E+00">
                  <c:v>333000</c:v>
                </c:pt>
                <c:pt idx="3" formatCode="0.00E+00">
                  <c:v>61800</c:v>
                </c:pt>
                <c:pt idx="4" formatCode="0.00E+00">
                  <c:v>1260</c:v>
                </c:pt>
                <c:pt idx="5">
                  <c:v>50.6</c:v>
                </c:pt>
                <c:pt idx="6" formatCode="0.00E+00">
                  <c:v>69500</c:v>
                </c:pt>
                <c:pt idx="7" formatCode="0.00E+00">
                  <c:v>8940</c:v>
                </c:pt>
                <c:pt idx="8" formatCode="0.00E+00">
                  <c:v>6290</c:v>
                </c:pt>
                <c:pt idx="9" formatCode="0.00E+00">
                  <c:v>185000</c:v>
                </c:pt>
                <c:pt idx="10" formatCode="0.00E+00">
                  <c:v>395000</c:v>
                </c:pt>
              </c:numCache>
            </c:numRef>
          </c:val>
        </c:ser>
        <c:ser>
          <c:idx val="1"/>
          <c:order val="1"/>
          <c:tx>
            <c:strRef>
              <c:f>'DNLEU Results'!$C$290</c:f>
              <c:strCache>
                <c:ptCount val="1"/>
                <c:pt idx="0">
                  <c:v>DDS2 HHISO/Liner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'DNLEU Results'!$A$291:$A$301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Results'!$C$291:$C$301</c:f>
              <c:numCache>
                <c:formatCode>0.00E+00</c:formatCode>
                <c:ptCount val="11"/>
                <c:pt idx="0">
                  <c:v>26700</c:v>
                </c:pt>
                <c:pt idx="1">
                  <c:v>172</c:v>
                </c:pt>
                <c:pt idx="2">
                  <c:v>196000</c:v>
                </c:pt>
                <c:pt idx="3">
                  <c:v>45100</c:v>
                </c:pt>
                <c:pt idx="4">
                  <c:v>954</c:v>
                </c:pt>
                <c:pt idx="5">
                  <c:v>38.799999999999997</c:v>
                </c:pt>
                <c:pt idx="6">
                  <c:v>25700</c:v>
                </c:pt>
                <c:pt idx="7">
                  <c:v>6600</c:v>
                </c:pt>
                <c:pt idx="8">
                  <c:v>5650</c:v>
                </c:pt>
                <c:pt idx="9">
                  <c:v>49900</c:v>
                </c:pt>
                <c:pt idx="10">
                  <c:v>291000</c:v>
                </c:pt>
              </c:numCache>
            </c:numRef>
          </c:val>
        </c:ser>
        <c:ser>
          <c:idx val="2"/>
          <c:order val="2"/>
          <c:tx>
            <c:strRef>
              <c:f>'DNLEU Results'!$D$290</c:f>
              <c:strCache>
                <c:ptCount val="1"/>
                <c:pt idx="0">
                  <c:v>DDS3 Grouted 4m Box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'DNLEU Results'!$A$291:$A$301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Results'!$D$291:$D$301</c:f>
              <c:numCache>
                <c:formatCode>0.00E+00</c:formatCode>
                <c:ptCount val="11"/>
                <c:pt idx="0">
                  <c:v>43800</c:v>
                </c:pt>
                <c:pt idx="1">
                  <c:v>277</c:v>
                </c:pt>
                <c:pt idx="2">
                  <c:v>343000</c:v>
                </c:pt>
                <c:pt idx="3">
                  <c:v>72800</c:v>
                </c:pt>
                <c:pt idx="4">
                  <c:v>1530</c:v>
                </c:pt>
                <c:pt idx="5">
                  <c:v>62.1</c:v>
                </c:pt>
                <c:pt idx="6">
                  <c:v>54500</c:v>
                </c:pt>
                <c:pt idx="7">
                  <c:v>10600</c:v>
                </c:pt>
                <c:pt idx="8">
                  <c:v>8420</c:v>
                </c:pt>
                <c:pt idx="9">
                  <c:v>148000</c:v>
                </c:pt>
                <c:pt idx="10">
                  <c:v>470000</c:v>
                </c:pt>
              </c:numCache>
            </c:numRef>
          </c:val>
        </c:ser>
        <c:ser>
          <c:idx val="3"/>
          <c:order val="3"/>
          <c:tx>
            <c:strRef>
              <c:f>'DNLEU Results'!$E$290</c:f>
              <c:strCache>
                <c:ptCount val="1"/>
                <c:pt idx="0">
                  <c:v>DDS4 200l Drums in 4m Box</c:v>
                </c:pt>
              </c:strCache>
            </c:strRef>
          </c:tx>
          <c:spPr>
            <a:ln w="12700">
              <a:solidFill>
                <a:srgbClr val="9D56AB"/>
              </a:solidFill>
              <a:prstDash val="solid"/>
            </a:ln>
          </c:spPr>
          <c:marker>
            <c:symbol val="none"/>
          </c:marker>
          <c:cat>
            <c:strRef>
              <c:f>'DNLEU Results'!$A$291:$A$301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Results'!$E$291:$E$301</c:f>
              <c:numCache>
                <c:formatCode>0.00E+00</c:formatCode>
                <c:ptCount val="11"/>
                <c:pt idx="0">
                  <c:v>20600</c:v>
                </c:pt>
                <c:pt idx="1">
                  <c:v>128</c:v>
                </c:pt>
                <c:pt idx="2">
                  <c:v>167000</c:v>
                </c:pt>
                <c:pt idx="3">
                  <c:v>33000</c:v>
                </c:pt>
                <c:pt idx="4">
                  <c:v>696</c:v>
                </c:pt>
                <c:pt idx="5">
                  <c:v>28.2</c:v>
                </c:pt>
                <c:pt idx="6">
                  <c:v>30800</c:v>
                </c:pt>
                <c:pt idx="7">
                  <c:v>4870</c:v>
                </c:pt>
                <c:pt idx="8">
                  <c:v>4710</c:v>
                </c:pt>
                <c:pt idx="9">
                  <c:v>82700</c:v>
                </c:pt>
                <c:pt idx="10">
                  <c:v>218000</c:v>
                </c:pt>
              </c:numCache>
            </c:numRef>
          </c:val>
        </c:ser>
        <c:ser>
          <c:idx val="4"/>
          <c:order val="4"/>
          <c:tx>
            <c:strRef>
              <c:f>'DNLEU Results'!$F$290</c:f>
              <c:strCache>
                <c:ptCount val="1"/>
                <c:pt idx="0">
                  <c:v>DDS5 3m3 Drum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'DNLEU Results'!$A$291:$A$301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Results'!$F$291:$F$301</c:f>
              <c:numCache>
                <c:formatCode>0.00E+00</c:formatCode>
                <c:ptCount val="11"/>
                <c:pt idx="0">
                  <c:v>19200</c:v>
                </c:pt>
                <c:pt idx="1">
                  <c:v>125</c:v>
                </c:pt>
                <c:pt idx="2">
                  <c:v>151000</c:v>
                </c:pt>
                <c:pt idx="3">
                  <c:v>33600</c:v>
                </c:pt>
                <c:pt idx="4">
                  <c:v>681</c:v>
                </c:pt>
                <c:pt idx="5">
                  <c:v>27.7</c:v>
                </c:pt>
                <c:pt idx="6">
                  <c:v>21600</c:v>
                </c:pt>
                <c:pt idx="7">
                  <c:v>4790</c:v>
                </c:pt>
                <c:pt idx="8">
                  <c:v>4510</c:v>
                </c:pt>
                <c:pt idx="9">
                  <c:v>59100</c:v>
                </c:pt>
                <c:pt idx="10">
                  <c:v>211000</c:v>
                </c:pt>
              </c:numCache>
            </c:numRef>
          </c:val>
        </c:ser>
        <c:marker val="1"/>
        <c:axId val="37832960"/>
        <c:axId val="37839232"/>
      </c:lineChart>
      <c:catAx>
        <c:axId val="37832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0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1840415517680546"/>
              <c:y val="0.8933917796357929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839232"/>
        <c:crosses val="autoZero"/>
        <c:auto val="1"/>
        <c:lblAlgn val="ctr"/>
        <c:lblOffset val="100"/>
        <c:tickLblSkip val="1"/>
        <c:tickMarkSkip val="1"/>
      </c:catAx>
      <c:valAx>
        <c:axId val="378392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0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3763580185388218E-2"/>
              <c:y val="0.31354348747643657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83296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775898520084566"/>
          <c:y val="2.0618625894765808E-2"/>
          <c:w val="0.71247357293868918"/>
          <c:h val="0.17182188245638175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n-GB"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254898294217501"/>
          <c:y val="0.17525806279082204"/>
          <c:w val="0.85294092127753707"/>
          <c:h val="0.38144401901531905"/>
        </c:manualLayout>
      </c:layout>
      <c:lineChart>
        <c:grouping val="standard"/>
        <c:ser>
          <c:idx val="0"/>
          <c:order val="0"/>
          <c:tx>
            <c:strRef>
              <c:f>'DNLEU Results'!$B$309</c:f>
              <c:strCache>
                <c:ptCount val="1"/>
                <c:pt idx="0">
                  <c:v>DDS1 500l Drum (Baseline)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'DNLEU Results'!$A$310:$A$320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Results'!$B$310:$B$320</c:f>
              <c:numCache>
                <c:formatCode>0.00</c:formatCode>
                <c:ptCount val="11"/>
                <c:pt idx="0">
                  <c:v>4.78125</c:v>
                </c:pt>
                <c:pt idx="1">
                  <c:v>2.9375000000000002E-2</c:v>
                </c:pt>
                <c:pt idx="2">
                  <c:v>40</c:v>
                </c:pt>
                <c:pt idx="3">
                  <c:v>7.6562500000000009</c:v>
                </c:pt>
                <c:pt idx="4">
                  <c:v>0.1575</c:v>
                </c:pt>
                <c:pt idx="5">
                  <c:v>6.3437500000000004E-3</c:v>
                </c:pt>
                <c:pt idx="6">
                  <c:v>8.71875</c:v>
                </c:pt>
                <c:pt idx="7">
                  <c:v>1.1187499999999999</c:v>
                </c:pt>
                <c:pt idx="8">
                  <c:v>0.95</c:v>
                </c:pt>
                <c:pt idx="9">
                  <c:v>11.5625</c:v>
                </c:pt>
                <c:pt idx="10">
                  <c:v>24.90625</c:v>
                </c:pt>
              </c:numCache>
            </c:numRef>
          </c:val>
        </c:ser>
        <c:ser>
          <c:idx val="1"/>
          <c:order val="1"/>
          <c:tx>
            <c:strRef>
              <c:f>'DNLEU Results'!$C$309</c:f>
              <c:strCache>
                <c:ptCount val="1"/>
                <c:pt idx="0">
                  <c:v>DDS2 HHISO/Liner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'DNLEU Results'!$A$310:$A$320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Results'!$C$310:$C$320</c:f>
              <c:numCache>
                <c:formatCode>0.00</c:formatCode>
                <c:ptCount val="11"/>
                <c:pt idx="0">
                  <c:v>3.34375</c:v>
                </c:pt>
                <c:pt idx="1">
                  <c:v>2.1531250000000002E-2</c:v>
                </c:pt>
                <c:pt idx="2">
                  <c:v>24.46875</c:v>
                </c:pt>
                <c:pt idx="3">
                  <c:v>5.65625</c:v>
                </c:pt>
                <c:pt idx="4">
                  <c:v>0.119375</c:v>
                </c:pt>
                <c:pt idx="5">
                  <c:v>4.84375E-3</c:v>
                </c:pt>
                <c:pt idx="6">
                  <c:v>3.21875</c:v>
                </c:pt>
                <c:pt idx="7">
                  <c:v>0.82500000000000007</c:v>
                </c:pt>
                <c:pt idx="8">
                  <c:v>0.70625000000000004</c:v>
                </c:pt>
                <c:pt idx="9">
                  <c:v>3.1218750000000002</c:v>
                </c:pt>
                <c:pt idx="10">
                  <c:v>18.15625</c:v>
                </c:pt>
              </c:numCache>
            </c:numRef>
          </c:val>
        </c:ser>
        <c:ser>
          <c:idx val="2"/>
          <c:order val="2"/>
          <c:tx>
            <c:strRef>
              <c:f>'DNLEU Results'!$D$309</c:f>
              <c:strCache>
                <c:ptCount val="1"/>
                <c:pt idx="0">
                  <c:v>DDS3 Grouted 4m Box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'DNLEU Results'!$A$310:$A$320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Results'!$D$310:$D$320</c:f>
              <c:numCache>
                <c:formatCode>0.00</c:formatCode>
                <c:ptCount val="11"/>
                <c:pt idx="0">
                  <c:v>5.46875</c:v>
                </c:pt>
                <c:pt idx="1">
                  <c:v>3.4687500000000003E-2</c:v>
                </c:pt>
                <c:pt idx="2">
                  <c:v>42.8125</c:v>
                </c:pt>
                <c:pt idx="3">
                  <c:v>9.09375</c:v>
                </c:pt>
                <c:pt idx="4">
                  <c:v>0.19125</c:v>
                </c:pt>
                <c:pt idx="5">
                  <c:v>7.7499999999999999E-3</c:v>
                </c:pt>
                <c:pt idx="6">
                  <c:v>6.8125000000000009</c:v>
                </c:pt>
                <c:pt idx="7">
                  <c:v>1.3218749999999999</c:v>
                </c:pt>
                <c:pt idx="8">
                  <c:v>1.0531250000000001</c:v>
                </c:pt>
                <c:pt idx="9">
                  <c:v>9.25</c:v>
                </c:pt>
                <c:pt idx="10">
                  <c:v>29.40625</c:v>
                </c:pt>
              </c:numCache>
            </c:numRef>
          </c:val>
        </c:ser>
        <c:ser>
          <c:idx val="3"/>
          <c:order val="3"/>
          <c:tx>
            <c:strRef>
              <c:f>'DNLEU Results'!$E$309</c:f>
              <c:strCache>
                <c:ptCount val="1"/>
                <c:pt idx="0">
                  <c:v>DDS4 200l Drums in 4m Box</c:v>
                </c:pt>
              </c:strCache>
            </c:strRef>
          </c:tx>
          <c:spPr>
            <a:ln w="12700">
              <a:solidFill>
                <a:srgbClr val="9D56AB"/>
              </a:solidFill>
              <a:prstDash val="solid"/>
            </a:ln>
          </c:spPr>
          <c:marker>
            <c:symbol val="none"/>
          </c:marker>
          <c:cat>
            <c:strRef>
              <c:f>'DNLEU Results'!$A$310:$A$320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Results'!$E$310:$E$320</c:f>
              <c:numCache>
                <c:formatCode>0.00</c:formatCode>
                <c:ptCount val="11"/>
                <c:pt idx="0">
                  <c:v>2.5718749999999999</c:v>
                </c:pt>
                <c:pt idx="1">
                  <c:v>1.60625E-2</c:v>
                </c:pt>
                <c:pt idx="2">
                  <c:v>20.875</c:v>
                </c:pt>
                <c:pt idx="3">
                  <c:v>4.125</c:v>
                </c:pt>
                <c:pt idx="4">
                  <c:v>8.7187500000000001E-2</c:v>
                </c:pt>
                <c:pt idx="5">
                  <c:v>3.5312499999999997E-3</c:v>
                </c:pt>
                <c:pt idx="6">
                  <c:v>3.84375</c:v>
                </c:pt>
                <c:pt idx="7">
                  <c:v>0.609375</c:v>
                </c:pt>
                <c:pt idx="8">
                  <c:v>0.58750000000000002</c:v>
                </c:pt>
                <c:pt idx="9">
                  <c:v>5.15625</c:v>
                </c:pt>
                <c:pt idx="10">
                  <c:v>13.625000000000002</c:v>
                </c:pt>
              </c:numCache>
            </c:numRef>
          </c:val>
        </c:ser>
        <c:ser>
          <c:idx val="4"/>
          <c:order val="4"/>
          <c:tx>
            <c:strRef>
              <c:f>'DNLEU Results'!$F$309</c:f>
              <c:strCache>
                <c:ptCount val="1"/>
                <c:pt idx="0">
                  <c:v>DDS5 3m3 Drum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'DNLEU Results'!$A$310:$A$320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Inorganics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'DNLEU Results'!$F$310:$F$320</c:f>
              <c:numCache>
                <c:formatCode>0.00</c:formatCode>
                <c:ptCount val="11"/>
                <c:pt idx="0">
                  <c:v>2.4031250000000002</c:v>
                </c:pt>
                <c:pt idx="1">
                  <c:v>1.5625E-2</c:v>
                </c:pt>
                <c:pt idx="2">
                  <c:v>18.9375</c:v>
                </c:pt>
                <c:pt idx="3">
                  <c:v>4.1875</c:v>
                </c:pt>
                <c:pt idx="4">
                  <c:v>8.4999999999999992E-2</c:v>
                </c:pt>
                <c:pt idx="5">
                  <c:v>3.4687500000000005E-3</c:v>
                </c:pt>
                <c:pt idx="6">
                  <c:v>2.6968749999999999</c:v>
                </c:pt>
                <c:pt idx="7">
                  <c:v>0.6</c:v>
                </c:pt>
                <c:pt idx="8">
                  <c:v>0.5625</c:v>
                </c:pt>
                <c:pt idx="9">
                  <c:v>3.6875</c:v>
                </c:pt>
                <c:pt idx="10">
                  <c:v>13.1875</c:v>
                </c:pt>
              </c:numCache>
            </c:numRef>
          </c:val>
        </c:ser>
        <c:marker val="1"/>
        <c:axId val="37870592"/>
        <c:axId val="37897344"/>
      </c:lineChart>
      <c:catAx>
        <c:axId val="37870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0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52103018372703414"/>
              <c:y val="0.9227923825815702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897344"/>
        <c:crosses val="autoZero"/>
        <c:auto val="1"/>
        <c:lblAlgn val="ctr"/>
        <c:lblOffset val="100"/>
        <c:tickLblSkip val="1"/>
        <c:tickMarkSkip val="1"/>
      </c:catAx>
      <c:valAx>
        <c:axId val="378973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0"/>
                  <a:t>Percentage of Total Baseline Impact</a:t>
                </a:r>
              </a:p>
            </c:rich>
          </c:tx>
          <c:layout>
            <c:manualLayout>
              <c:xMode val="edge"/>
              <c:yMode val="edge"/>
              <c:x val="1.5538510272422843E-2"/>
              <c:y val="0.22437708066044459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87059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534482758620691"/>
          <c:y val="1.9169329073482427E-2"/>
          <c:w val="0.7306034482758621"/>
          <c:h val="0.1533546325878594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n-GB"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9278350515464"/>
          <c:y val="0.12251670485747501"/>
          <c:w val="0.86804123711340231"/>
          <c:h val="0.73510022914484807"/>
        </c:manualLayout>
      </c:layout>
      <c:barChart>
        <c:barDir val="col"/>
        <c:grouping val="clustered"/>
        <c:ser>
          <c:idx val="0"/>
          <c:order val="0"/>
          <c:tx>
            <c:strRef>
              <c:f>'General metal graphs'!$C$285</c:f>
              <c:strCache>
                <c:ptCount val="1"/>
                <c:pt idx="0">
                  <c:v>ILW (2010 UKRWI)</c:v>
                </c:pt>
              </c:strCache>
            </c:strRef>
          </c:tx>
          <c:spPr>
            <a:pattFill prst="wdUpDiag">
              <a:fgClr>
                <a:srgbClr val="FF99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graphs'!$B$286:$B$296</c:f>
              <c:numCache>
                <c:formatCode>General</c:formatCode>
                <c:ptCount val="11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  <c:pt idx="6">
                  <c:v>2080</c:v>
                </c:pt>
                <c:pt idx="7">
                  <c:v>2090</c:v>
                </c:pt>
                <c:pt idx="8">
                  <c:v>2100</c:v>
                </c:pt>
                <c:pt idx="9">
                  <c:v>2110</c:v>
                </c:pt>
                <c:pt idx="10">
                  <c:v>2120</c:v>
                </c:pt>
              </c:numCache>
            </c:numRef>
          </c:cat>
          <c:val>
            <c:numRef>
              <c:f>'General metal graphs'!$C$286:$C$296</c:f>
              <c:numCache>
                <c:formatCode>General</c:formatCode>
                <c:ptCount val="11"/>
                <c:pt idx="0">
                  <c:v>19800</c:v>
                </c:pt>
                <c:pt idx="1">
                  <c:v>17400</c:v>
                </c:pt>
                <c:pt idx="2">
                  <c:v>21600</c:v>
                </c:pt>
                <c:pt idx="3">
                  <c:v>20250</c:v>
                </c:pt>
                <c:pt idx="4">
                  <c:v>20250</c:v>
                </c:pt>
                <c:pt idx="5">
                  <c:v>16300</c:v>
                </c:pt>
                <c:pt idx="6">
                  <c:v>16300</c:v>
                </c:pt>
                <c:pt idx="7">
                  <c:v>16300</c:v>
                </c:pt>
                <c:pt idx="8">
                  <c:v>16300</c:v>
                </c:pt>
                <c:pt idx="9">
                  <c:v>13900</c:v>
                </c:pt>
                <c:pt idx="10">
                  <c:v>13900</c:v>
                </c:pt>
              </c:numCache>
            </c:numRef>
          </c:val>
        </c:ser>
        <c:ser>
          <c:idx val="1"/>
          <c:order val="1"/>
          <c:tx>
            <c:strRef>
              <c:f>'General metal graphs'!$D$285</c:f>
              <c:strCache>
                <c:ptCount val="1"/>
                <c:pt idx="0">
                  <c:v>ILW (2013 UKRWI)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graphs'!$B$286:$B$296</c:f>
              <c:numCache>
                <c:formatCode>General</c:formatCode>
                <c:ptCount val="11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  <c:pt idx="6">
                  <c:v>2080</c:v>
                </c:pt>
                <c:pt idx="7">
                  <c:v>2090</c:v>
                </c:pt>
                <c:pt idx="8">
                  <c:v>2100</c:v>
                </c:pt>
                <c:pt idx="9">
                  <c:v>2110</c:v>
                </c:pt>
                <c:pt idx="10">
                  <c:v>2120</c:v>
                </c:pt>
              </c:numCache>
            </c:numRef>
          </c:cat>
          <c:val>
            <c:numRef>
              <c:f>'General metal graphs'!$D$286:$D$296</c:f>
              <c:numCache>
                <c:formatCode>General</c:formatCode>
                <c:ptCount val="11"/>
                <c:pt idx="0">
                  <c:v>14250</c:v>
                </c:pt>
                <c:pt idx="1">
                  <c:v>13600</c:v>
                </c:pt>
                <c:pt idx="2">
                  <c:v>14700</c:v>
                </c:pt>
                <c:pt idx="3">
                  <c:v>17550</c:v>
                </c:pt>
                <c:pt idx="4">
                  <c:v>17550</c:v>
                </c:pt>
                <c:pt idx="5">
                  <c:v>20500</c:v>
                </c:pt>
                <c:pt idx="6">
                  <c:v>20500</c:v>
                </c:pt>
                <c:pt idx="7">
                  <c:v>20500</c:v>
                </c:pt>
                <c:pt idx="8">
                  <c:v>20500</c:v>
                </c:pt>
                <c:pt idx="9">
                  <c:v>15350</c:v>
                </c:pt>
                <c:pt idx="10">
                  <c:v>15350</c:v>
                </c:pt>
              </c:numCache>
            </c:numRef>
          </c:val>
        </c:ser>
        <c:axId val="38603008"/>
        <c:axId val="38613376"/>
      </c:barChart>
      <c:catAx>
        <c:axId val="38603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Decade</a:t>
                </a:r>
              </a:p>
            </c:rich>
          </c:tx>
          <c:layout>
            <c:manualLayout>
              <c:xMode val="edge"/>
              <c:yMode val="edge"/>
              <c:x val="0.51654449509600775"/>
              <c:y val="0.9081632560972857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613376"/>
        <c:crosses val="autoZero"/>
        <c:auto val="1"/>
        <c:lblAlgn val="ctr"/>
        <c:lblOffset val="100"/>
        <c:tickLblSkip val="1"/>
        <c:tickMarkSkip val="1"/>
      </c:catAx>
      <c:valAx>
        <c:axId val="386133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Waste Volume (m3)</a:t>
                </a:r>
              </a:p>
            </c:rich>
          </c:tx>
          <c:layout>
            <c:manualLayout>
              <c:xMode val="edge"/>
              <c:yMode val="edge"/>
              <c:x val="2.9411797209559335E-2"/>
              <c:y val="0.3418366686972151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60300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358043873816778"/>
          <c:y val="2.2284122562674095E-2"/>
          <c:w val="0.29099830310960279"/>
          <c:h val="5.571030640668523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Comparion of Average Storage and Disposal Costs of DNLEU Based on Extrapolated HAW Vault Volumes</a:t>
            </a:r>
          </a:p>
        </c:rich>
      </c:tx>
      <c:layout>
        <c:manualLayout>
          <c:xMode val="edge"/>
          <c:yMode val="edge"/>
          <c:x val="0.13921920731131629"/>
          <c:y val="3.492095464811084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67078675109449E-2"/>
          <c:y val="0.29333365162071601"/>
          <c:w val="0.88477410701502801"/>
          <c:h val="0.36888928915938513"/>
        </c:manualLayout>
      </c:layout>
      <c:barChart>
        <c:barDir val="col"/>
        <c:grouping val="clustered"/>
        <c:ser>
          <c:idx val="0"/>
          <c:order val="0"/>
          <c:tx>
            <c:strRef>
              <c:f>'DNLEU Results'!$A$346</c:f>
              <c:strCache>
                <c:ptCount val="1"/>
                <c:pt idx="0">
                  <c:v>Baseline 500l Drums</c:v>
                </c:pt>
              </c:strCache>
            </c:strRef>
          </c:tx>
          <c:spPr>
            <a:solidFill>
              <a:srgbClr val="7CC861"/>
            </a:solidFill>
            <a:ln w="25400">
              <a:noFill/>
            </a:ln>
          </c:spPr>
          <c:cat>
            <c:strRef>
              <c:f>'DNLEU Results'!$B$345:$G$345</c:f>
              <c:strCache>
                <c:ptCount val="6"/>
                <c:pt idx="0">
                  <c:v>LTIS Package Cost (Ave)</c:v>
                </c:pt>
                <c:pt idx="1">
                  <c:v>Disposal Package Costs (Ave)</c:v>
                </c:pt>
                <c:pt idx="2">
                  <c:v>ILW Disposal Costs (Ave)</c:v>
                </c:pt>
                <c:pt idx="3">
                  <c:v>LLW Disposal Costs (Ave)</c:v>
                </c:pt>
                <c:pt idx="4">
                  <c:v>DV70 VLLW Disposal Costs (Ave)</c:v>
                </c:pt>
                <c:pt idx="5">
                  <c:v>Total Costs (Ave)</c:v>
                </c:pt>
              </c:strCache>
            </c:strRef>
          </c:cat>
          <c:val>
            <c:numRef>
              <c:f>'DNLEU Results'!$B$346:$G$346</c:f>
              <c:numCache>
                <c:formatCode>General</c:formatCode>
                <c:ptCount val="6"/>
                <c:pt idx="0">
                  <c:v>52.5</c:v>
                </c:pt>
                <c:pt idx="1">
                  <c:v>231</c:v>
                </c:pt>
                <c:pt idx="2">
                  <c:v>406</c:v>
                </c:pt>
                <c:pt idx="3">
                  <c:v>0</c:v>
                </c:pt>
                <c:pt idx="4">
                  <c:v>10.5</c:v>
                </c:pt>
                <c:pt idx="5">
                  <c:v>700</c:v>
                </c:pt>
              </c:numCache>
            </c:numRef>
          </c:val>
        </c:ser>
        <c:ser>
          <c:idx val="1"/>
          <c:order val="1"/>
          <c:tx>
            <c:strRef>
              <c:f>'DNLEU Results'!$A$347</c:f>
              <c:strCache>
                <c:ptCount val="1"/>
                <c:pt idx="0">
                  <c:v>HHISO/Liner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cat>
            <c:strRef>
              <c:f>'DNLEU Results'!$B$345:$G$345</c:f>
              <c:strCache>
                <c:ptCount val="6"/>
                <c:pt idx="0">
                  <c:v>LTIS Package Cost (Ave)</c:v>
                </c:pt>
                <c:pt idx="1">
                  <c:v>Disposal Package Costs (Ave)</c:v>
                </c:pt>
                <c:pt idx="2">
                  <c:v>ILW Disposal Costs (Ave)</c:v>
                </c:pt>
                <c:pt idx="3">
                  <c:v>LLW Disposal Costs (Ave)</c:v>
                </c:pt>
                <c:pt idx="4">
                  <c:v>DV70 VLLW Disposal Costs (Ave)</c:v>
                </c:pt>
                <c:pt idx="5">
                  <c:v>Total Costs (Ave)</c:v>
                </c:pt>
              </c:strCache>
            </c:strRef>
          </c:cat>
          <c:val>
            <c:numRef>
              <c:f>'DNLEU Results'!$B$347:$G$347</c:f>
              <c:numCache>
                <c:formatCode>General</c:formatCode>
                <c:ptCount val="6"/>
                <c:pt idx="0">
                  <c:v>52.5</c:v>
                </c:pt>
                <c:pt idx="1">
                  <c:v>61.5</c:v>
                </c:pt>
                <c:pt idx="2">
                  <c:v>224</c:v>
                </c:pt>
                <c:pt idx="3">
                  <c:v>0</c:v>
                </c:pt>
                <c:pt idx="4">
                  <c:v>10.5</c:v>
                </c:pt>
                <c:pt idx="5">
                  <c:v>348.5</c:v>
                </c:pt>
              </c:numCache>
            </c:numRef>
          </c:val>
        </c:ser>
        <c:ser>
          <c:idx val="2"/>
          <c:order val="2"/>
          <c:tx>
            <c:strRef>
              <c:f>'DNLEU Results'!$A$348</c:f>
              <c:strCache>
                <c:ptCount val="1"/>
                <c:pt idx="0">
                  <c:v>Grouted 4m Boxes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cat>
            <c:strRef>
              <c:f>'DNLEU Results'!$B$345:$G$345</c:f>
              <c:strCache>
                <c:ptCount val="6"/>
                <c:pt idx="0">
                  <c:v>LTIS Package Cost (Ave)</c:v>
                </c:pt>
                <c:pt idx="1">
                  <c:v>Disposal Package Costs (Ave)</c:v>
                </c:pt>
                <c:pt idx="2">
                  <c:v>ILW Disposal Costs (Ave)</c:v>
                </c:pt>
                <c:pt idx="3">
                  <c:v>LLW Disposal Costs (Ave)</c:v>
                </c:pt>
                <c:pt idx="4">
                  <c:v>DV70 VLLW Disposal Costs (Ave)</c:v>
                </c:pt>
                <c:pt idx="5">
                  <c:v>Total Costs (Ave)</c:v>
                </c:pt>
              </c:strCache>
            </c:strRef>
          </c:cat>
          <c:val>
            <c:numRef>
              <c:f>'DNLEU Results'!$B$348:$G$348</c:f>
              <c:numCache>
                <c:formatCode>General</c:formatCode>
                <c:ptCount val="6"/>
                <c:pt idx="0">
                  <c:v>52.5</c:v>
                </c:pt>
                <c:pt idx="1">
                  <c:v>187.5</c:v>
                </c:pt>
                <c:pt idx="2">
                  <c:v>405</c:v>
                </c:pt>
                <c:pt idx="3">
                  <c:v>0</c:v>
                </c:pt>
                <c:pt idx="4">
                  <c:v>10.5</c:v>
                </c:pt>
                <c:pt idx="5">
                  <c:v>655.5</c:v>
                </c:pt>
              </c:numCache>
            </c:numRef>
          </c:val>
        </c:ser>
        <c:ser>
          <c:idx val="3"/>
          <c:order val="3"/>
          <c:tx>
            <c:strRef>
              <c:f>'DNLEU Results'!$A$349</c:f>
              <c:strCache>
                <c:ptCount val="1"/>
                <c:pt idx="0">
                  <c:v>200l Drums/4m Boxes</c:v>
                </c:pt>
              </c:strCache>
            </c:strRef>
          </c:tx>
          <c:spPr>
            <a:solidFill>
              <a:srgbClr val="9D56AB"/>
            </a:solidFill>
            <a:ln w="25400">
              <a:noFill/>
            </a:ln>
          </c:spPr>
          <c:cat>
            <c:strRef>
              <c:f>'DNLEU Results'!$B$345:$G$345</c:f>
              <c:strCache>
                <c:ptCount val="6"/>
                <c:pt idx="0">
                  <c:v>LTIS Package Cost (Ave)</c:v>
                </c:pt>
                <c:pt idx="1">
                  <c:v>Disposal Package Costs (Ave)</c:v>
                </c:pt>
                <c:pt idx="2">
                  <c:v>ILW Disposal Costs (Ave)</c:v>
                </c:pt>
                <c:pt idx="3">
                  <c:v>LLW Disposal Costs (Ave)</c:v>
                </c:pt>
                <c:pt idx="4">
                  <c:v>DV70 VLLW Disposal Costs (Ave)</c:v>
                </c:pt>
                <c:pt idx="5">
                  <c:v>Total Costs (Ave)</c:v>
                </c:pt>
              </c:strCache>
            </c:strRef>
          </c:cat>
          <c:val>
            <c:numRef>
              <c:f>'DNLEU Results'!$B$349:$G$349</c:f>
              <c:numCache>
                <c:formatCode>General</c:formatCode>
                <c:ptCount val="6"/>
                <c:pt idx="0">
                  <c:v>52.5</c:v>
                </c:pt>
                <c:pt idx="1">
                  <c:v>290</c:v>
                </c:pt>
                <c:pt idx="2">
                  <c:v>181.5</c:v>
                </c:pt>
                <c:pt idx="3">
                  <c:v>0</c:v>
                </c:pt>
                <c:pt idx="4">
                  <c:v>10.5</c:v>
                </c:pt>
                <c:pt idx="5">
                  <c:v>534.5</c:v>
                </c:pt>
              </c:numCache>
            </c:numRef>
          </c:val>
        </c:ser>
        <c:ser>
          <c:idx val="4"/>
          <c:order val="4"/>
          <c:tx>
            <c:strRef>
              <c:f>'DNLEU Results'!$A$350</c:f>
              <c:strCache>
                <c:ptCount val="1"/>
                <c:pt idx="0">
                  <c:v>3m3 Drums</c:v>
                </c:pt>
              </c:strCache>
            </c:strRef>
          </c:tx>
          <c:spPr>
            <a:solidFill>
              <a:srgbClr val="800000"/>
            </a:solidFill>
            <a:ln w="25400">
              <a:noFill/>
            </a:ln>
          </c:spPr>
          <c:cat>
            <c:strRef>
              <c:f>'DNLEU Results'!$B$345:$G$345</c:f>
              <c:strCache>
                <c:ptCount val="6"/>
                <c:pt idx="0">
                  <c:v>LTIS Package Cost (Ave)</c:v>
                </c:pt>
                <c:pt idx="1">
                  <c:v>Disposal Package Costs (Ave)</c:v>
                </c:pt>
                <c:pt idx="2">
                  <c:v>ILW Disposal Costs (Ave)</c:v>
                </c:pt>
                <c:pt idx="3">
                  <c:v>LLW Disposal Costs (Ave)</c:v>
                </c:pt>
                <c:pt idx="4">
                  <c:v>DV70 VLLW Disposal Costs (Ave)</c:v>
                </c:pt>
                <c:pt idx="5">
                  <c:v>Total Costs (Ave)</c:v>
                </c:pt>
              </c:strCache>
            </c:strRef>
          </c:cat>
          <c:val>
            <c:numRef>
              <c:f>'DNLEU Results'!$B$350:$G$350</c:f>
              <c:numCache>
                <c:formatCode>General</c:formatCode>
                <c:ptCount val="6"/>
                <c:pt idx="0">
                  <c:v>52.5</c:v>
                </c:pt>
                <c:pt idx="1">
                  <c:v>484.5</c:v>
                </c:pt>
                <c:pt idx="2">
                  <c:v>438</c:v>
                </c:pt>
                <c:pt idx="3">
                  <c:v>0</c:v>
                </c:pt>
                <c:pt idx="4">
                  <c:v>10.5</c:v>
                </c:pt>
                <c:pt idx="5">
                  <c:v>985.5</c:v>
                </c:pt>
              </c:numCache>
            </c:numRef>
          </c:val>
        </c:ser>
        <c:ser>
          <c:idx val="5"/>
          <c:order val="5"/>
          <c:tx>
            <c:strRef>
              <c:f>'DNLEU Results'!$A$351</c:f>
              <c:strCache>
                <c:ptCount val="1"/>
                <c:pt idx="0">
                  <c:v>Overpacked LTIS as HAW</c:v>
                </c:pt>
              </c:strCache>
            </c:strRef>
          </c:tx>
          <c:spPr>
            <a:pattFill prst="wdUpDiag">
              <a:fgClr>
                <a:srgbClr val="FF0000"/>
              </a:fgClr>
              <a:bgClr>
                <a:srgbClr val="FFFFFF"/>
              </a:bgClr>
            </a:pattFill>
            <a:ln w="25400">
              <a:noFill/>
            </a:ln>
          </c:spPr>
          <c:cat>
            <c:strRef>
              <c:f>'DNLEU Results'!$B$345:$G$345</c:f>
              <c:strCache>
                <c:ptCount val="6"/>
                <c:pt idx="0">
                  <c:v>LTIS Package Cost (Ave)</c:v>
                </c:pt>
                <c:pt idx="1">
                  <c:v>Disposal Package Costs (Ave)</c:v>
                </c:pt>
                <c:pt idx="2">
                  <c:v>ILW Disposal Costs (Ave)</c:v>
                </c:pt>
                <c:pt idx="3">
                  <c:v>LLW Disposal Costs (Ave)</c:v>
                </c:pt>
                <c:pt idx="4">
                  <c:v>DV70 VLLW Disposal Costs (Ave)</c:v>
                </c:pt>
                <c:pt idx="5">
                  <c:v>Total Costs (Ave)</c:v>
                </c:pt>
              </c:strCache>
            </c:strRef>
          </c:cat>
          <c:val>
            <c:numRef>
              <c:f>'DNLEU Results'!$B$351:$G$351</c:f>
              <c:numCache>
                <c:formatCode>General</c:formatCode>
                <c:ptCount val="6"/>
                <c:pt idx="0">
                  <c:v>43.5</c:v>
                </c:pt>
                <c:pt idx="1">
                  <c:v>232.5</c:v>
                </c:pt>
                <c:pt idx="2">
                  <c:v>488.5</c:v>
                </c:pt>
                <c:pt idx="3">
                  <c:v>0</c:v>
                </c:pt>
                <c:pt idx="4">
                  <c:v>0</c:v>
                </c:pt>
                <c:pt idx="5">
                  <c:v>764.5</c:v>
                </c:pt>
              </c:numCache>
            </c:numRef>
          </c:val>
        </c:ser>
        <c:axId val="37962496"/>
        <c:axId val="37964416"/>
      </c:barChart>
      <c:catAx>
        <c:axId val="379624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Cost Element</a:t>
                </a:r>
              </a:p>
            </c:rich>
          </c:tx>
          <c:layout>
            <c:manualLayout>
              <c:xMode val="edge"/>
              <c:yMode val="edge"/>
              <c:x val="0.48726694235163054"/>
              <c:y val="0.8857169016663615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64416"/>
        <c:crosses val="autoZero"/>
        <c:auto val="1"/>
        <c:lblAlgn val="ctr"/>
        <c:lblOffset val="100"/>
        <c:tickLblSkip val="1"/>
        <c:tickMarkSkip val="1"/>
      </c:catAx>
      <c:valAx>
        <c:axId val="379644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Costs (£million)</a:t>
                </a:r>
              </a:p>
            </c:rich>
          </c:tx>
          <c:layout>
            <c:manualLayout>
              <c:xMode val="edge"/>
              <c:yMode val="edge"/>
              <c:x val="2.5466681772692082E-2"/>
              <c:y val="0.3746041628517365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6249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765811102567399"/>
          <c:y val="0.13953488372093023"/>
          <c:w val="0.54594690657887557"/>
          <c:h val="0.1453488372093023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Comparison of Average Storage and Disposal Costs of DNLEU Based on £/m3</a:t>
            </a:r>
          </a:p>
        </c:rich>
      </c:tx>
      <c:layout>
        <c:manualLayout>
          <c:xMode val="edge"/>
          <c:yMode val="edge"/>
          <c:x val="0.15260332730782195"/>
          <c:y val="3.47827015809070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5494590402797"/>
          <c:y val="0.21052594690476401"/>
          <c:w val="0.55384659961468707"/>
          <c:h val="0.42105189380952707"/>
        </c:manualLayout>
      </c:layout>
      <c:barChart>
        <c:barDir val="col"/>
        <c:grouping val="clustered"/>
        <c:ser>
          <c:idx val="0"/>
          <c:order val="0"/>
          <c:tx>
            <c:strRef>
              <c:f>'DNLEU Results'!$A$376</c:f>
              <c:strCache>
                <c:ptCount val="1"/>
                <c:pt idx="0">
                  <c:v>Baseline 500l Drums</c:v>
                </c:pt>
              </c:strCache>
            </c:strRef>
          </c:tx>
          <c:spPr>
            <a:solidFill>
              <a:srgbClr val="339966"/>
            </a:solidFill>
            <a:ln w="25400">
              <a:noFill/>
            </a:ln>
          </c:spPr>
          <c:cat>
            <c:strRef>
              <c:f>'DNLEU Results'!$B$375:$G$375</c:f>
              <c:strCache>
                <c:ptCount val="6"/>
                <c:pt idx="0">
                  <c:v>LTIS Package Cost (Ave)</c:v>
                </c:pt>
                <c:pt idx="1">
                  <c:v>Disposal Package Costs (Ave)</c:v>
                </c:pt>
                <c:pt idx="2">
                  <c:v>ILW Disposal Costs (Ave)</c:v>
                </c:pt>
                <c:pt idx="3">
                  <c:v>LLW Disposal Costs (Ave)</c:v>
                </c:pt>
                <c:pt idx="4">
                  <c:v>DV70 VLLW Disposal Costs (Ave)</c:v>
                </c:pt>
                <c:pt idx="5">
                  <c:v>Total Costs (Ave)</c:v>
                </c:pt>
              </c:strCache>
            </c:strRef>
          </c:cat>
          <c:val>
            <c:numRef>
              <c:f>'DNLEU Results'!$B$376:$G$376</c:f>
              <c:numCache>
                <c:formatCode>General</c:formatCode>
                <c:ptCount val="6"/>
                <c:pt idx="0">
                  <c:v>52.5</c:v>
                </c:pt>
                <c:pt idx="1">
                  <c:v>231</c:v>
                </c:pt>
                <c:pt idx="2">
                  <c:v>753.5</c:v>
                </c:pt>
                <c:pt idx="3">
                  <c:v>0</c:v>
                </c:pt>
                <c:pt idx="4">
                  <c:v>10.5</c:v>
                </c:pt>
                <c:pt idx="5">
                  <c:v>1047.5</c:v>
                </c:pt>
              </c:numCache>
            </c:numRef>
          </c:val>
        </c:ser>
        <c:ser>
          <c:idx val="1"/>
          <c:order val="1"/>
          <c:tx>
            <c:strRef>
              <c:f>'DNLEU Results'!$A$377</c:f>
              <c:strCache>
                <c:ptCount val="1"/>
                <c:pt idx="0">
                  <c:v>HHISO/Liner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cat>
            <c:strRef>
              <c:f>'DNLEU Results'!$B$375:$G$375</c:f>
              <c:strCache>
                <c:ptCount val="6"/>
                <c:pt idx="0">
                  <c:v>LTIS Package Cost (Ave)</c:v>
                </c:pt>
                <c:pt idx="1">
                  <c:v>Disposal Package Costs (Ave)</c:v>
                </c:pt>
                <c:pt idx="2">
                  <c:v>ILW Disposal Costs (Ave)</c:v>
                </c:pt>
                <c:pt idx="3">
                  <c:v>LLW Disposal Costs (Ave)</c:v>
                </c:pt>
                <c:pt idx="4">
                  <c:v>DV70 VLLW Disposal Costs (Ave)</c:v>
                </c:pt>
                <c:pt idx="5">
                  <c:v>Total Costs (Ave)</c:v>
                </c:pt>
              </c:strCache>
            </c:strRef>
          </c:cat>
          <c:val>
            <c:numRef>
              <c:f>'DNLEU Results'!$B$377:$G$377</c:f>
              <c:numCache>
                <c:formatCode>General</c:formatCode>
                <c:ptCount val="6"/>
                <c:pt idx="0">
                  <c:v>52.5</c:v>
                </c:pt>
                <c:pt idx="1">
                  <c:v>61.5</c:v>
                </c:pt>
                <c:pt idx="2">
                  <c:v>610</c:v>
                </c:pt>
                <c:pt idx="3">
                  <c:v>0</c:v>
                </c:pt>
                <c:pt idx="4">
                  <c:v>10.5</c:v>
                </c:pt>
                <c:pt idx="5">
                  <c:v>734.5</c:v>
                </c:pt>
              </c:numCache>
            </c:numRef>
          </c:val>
        </c:ser>
        <c:ser>
          <c:idx val="2"/>
          <c:order val="2"/>
          <c:tx>
            <c:strRef>
              <c:f>'DNLEU Results'!$A$378</c:f>
              <c:strCache>
                <c:ptCount val="1"/>
                <c:pt idx="0">
                  <c:v>Grouted 4m Boxes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cat>
            <c:strRef>
              <c:f>'DNLEU Results'!$B$375:$G$375</c:f>
              <c:strCache>
                <c:ptCount val="6"/>
                <c:pt idx="0">
                  <c:v>LTIS Package Cost (Ave)</c:v>
                </c:pt>
                <c:pt idx="1">
                  <c:v>Disposal Package Costs (Ave)</c:v>
                </c:pt>
                <c:pt idx="2">
                  <c:v>ILW Disposal Costs (Ave)</c:v>
                </c:pt>
                <c:pt idx="3">
                  <c:v>LLW Disposal Costs (Ave)</c:v>
                </c:pt>
                <c:pt idx="4">
                  <c:v>DV70 VLLW Disposal Costs (Ave)</c:v>
                </c:pt>
                <c:pt idx="5">
                  <c:v>Total Costs (Ave)</c:v>
                </c:pt>
              </c:strCache>
            </c:strRef>
          </c:cat>
          <c:val>
            <c:numRef>
              <c:f>'DNLEU Results'!$B$378:$G$378</c:f>
              <c:numCache>
                <c:formatCode>General</c:formatCode>
                <c:ptCount val="6"/>
                <c:pt idx="0">
                  <c:v>52.5</c:v>
                </c:pt>
                <c:pt idx="1">
                  <c:v>187.5</c:v>
                </c:pt>
                <c:pt idx="2">
                  <c:v>878.5</c:v>
                </c:pt>
                <c:pt idx="3">
                  <c:v>0</c:v>
                </c:pt>
                <c:pt idx="4">
                  <c:v>10.5</c:v>
                </c:pt>
                <c:pt idx="5">
                  <c:v>1129</c:v>
                </c:pt>
              </c:numCache>
            </c:numRef>
          </c:val>
        </c:ser>
        <c:ser>
          <c:idx val="3"/>
          <c:order val="3"/>
          <c:tx>
            <c:strRef>
              <c:f>'DNLEU Results'!$A$379</c:f>
              <c:strCache>
                <c:ptCount val="1"/>
                <c:pt idx="0">
                  <c:v>200l Drums/4m Boxes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cat>
            <c:strRef>
              <c:f>'DNLEU Results'!$B$375:$G$375</c:f>
              <c:strCache>
                <c:ptCount val="6"/>
                <c:pt idx="0">
                  <c:v>LTIS Package Cost (Ave)</c:v>
                </c:pt>
                <c:pt idx="1">
                  <c:v>Disposal Package Costs (Ave)</c:v>
                </c:pt>
                <c:pt idx="2">
                  <c:v>ILW Disposal Costs (Ave)</c:v>
                </c:pt>
                <c:pt idx="3">
                  <c:v>LLW Disposal Costs (Ave)</c:v>
                </c:pt>
                <c:pt idx="4">
                  <c:v>DV70 VLLW Disposal Costs (Ave)</c:v>
                </c:pt>
                <c:pt idx="5">
                  <c:v>Total Costs (Ave)</c:v>
                </c:pt>
              </c:strCache>
            </c:strRef>
          </c:cat>
          <c:val>
            <c:numRef>
              <c:f>'DNLEU Results'!$B$379:$G$379</c:f>
              <c:numCache>
                <c:formatCode>General</c:formatCode>
                <c:ptCount val="6"/>
                <c:pt idx="0">
                  <c:v>52.5</c:v>
                </c:pt>
                <c:pt idx="1">
                  <c:v>290</c:v>
                </c:pt>
                <c:pt idx="2">
                  <c:v>422.5</c:v>
                </c:pt>
                <c:pt idx="3">
                  <c:v>0</c:v>
                </c:pt>
                <c:pt idx="4">
                  <c:v>10.5</c:v>
                </c:pt>
                <c:pt idx="5">
                  <c:v>775.5</c:v>
                </c:pt>
              </c:numCache>
            </c:numRef>
          </c:val>
        </c:ser>
        <c:ser>
          <c:idx val="4"/>
          <c:order val="4"/>
          <c:tx>
            <c:strRef>
              <c:f>'DNLEU Results'!$A$380</c:f>
              <c:strCache>
                <c:ptCount val="1"/>
                <c:pt idx="0">
                  <c:v>3m3 Drums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cat>
            <c:strRef>
              <c:f>'DNLEU Results'!$B$375:$G$375</c:f>
              <c:strCache>
                <c:ptCount val="6"/>
                <c:pt idx="0">
                  <c:v>LTIS Package Cost (Ave)</c:v>
                </c:pt>
                <c:pt idx="1">
                  <c:v>Disposal Package Costs (Ave)</c:v>
                </c:pt>
                <c:pt idx="2">
                  <c:v>ILW Disposal Costs (Ave)</c:v>
                </c:pt>
                <c:pt idx="3">
                  <c:v>LLW Disposal Costs (Ave)</c:v>
                </c:pt>
                <c:pt idx="4">
                  <c:v>DV70 VLLW Disposal Costs (Ave)</c:v>
                </c:pt>
                <c:pt idx="5">
                  <c:v>Total Costs (Ave)</c:v>
                </c:pt>
              </c:strCache>
            </c:strRef>
          </c:cat>
          <c:val>
            <c:numRef>
              <c:f>'DNLEU Results'!$B$380:$G$380</c:f>
              <c:numCache>
                <c:formatCode>General</c:formatCode>
                <c:ptCount val="6"/>
                <c:pt idx="0">
                  <c:v>52.5</c:v>
                </c:pt>
                <c:pt idx="1">
                  <c:v>484.5</c:v>
                </c:pt>
                <c:pt idx="2">
                  <c:v>417</c:v>
                </c:pt>
                <c:pt idx="3">
                  <c:v>0</c:v>
                </c:pt>
                <c:pt idx="4">
                  <c:v>10.5</c:v>
                </c:pt>
                <c:pt idx="5">
                  <c:v>964.5</c:v>
                </c:pt>
              </c:numCache>
            </c:numRef>
          </c:val>
        </c:ser>
        <c:ser>
          <c:idx val="5"/>
          <c:order val="5"/>
          <c:tx>
            <c:strRef>
              <c:f>'DNLEU Results'!$A$381</c:f>
              <c:strCache>
                <c:ptCount val="1"/>
                <c:pt idx="0">
                  <c:v>Overpacked LTIS as HAW</c:v>
                </c:pt>
              </c:strCache>
            </c:strRef>
          </c:tx>
          <c:spPr>
            <a:pattFill prst="wdUpDiag">
              <a:fgClr>
                <a:srgbClr val="FF0000"/>
              </a:fgClr>
              <a:bgClr>
                <a:srgbClr val="FFFFFF"/>
              </a:bgClr>
            </a:pattFill>
            <a:ln w="25400">
              <a:noFill/>
            </a:ln>
          </c:spPr>
          <c:cat>
            <c:strRef>
              <c:f>'DNLEU Results'!$B$375:$G$375</c:f>
              <c:strCache>
                <c:ptCount val="6"/>
                <c:pt idx="0">
                  <c:v>LTIS Package Cost (Ave)</c:v>
                </c:pt>
                <c:pt idx="1">
                  <c:v>Disposal Package Costs (Ave)</c:v>
                </c:pt>
                <c:pt idx="2">
                  <c:v>ILW Disposal Costs (Ave)</c:v>
                </c:pt>
                <c:pt idx="3">
                  <c:v>LLW Disposal Costs (Ave)</c:v>
                </c:pt>
                <c:pt idx="4">
                  <c:v>DV70 VLLW Disposal Costs (Ave)</c:v>
                </c:pt>
                <c:pt idx="5">
                  <c:v>Total Costs (Ave)</c:v>
                </c:pt>
              </c:strCache>
            </c:strRef>
          </c:cat>
          <c:val>
            <c:numRef>
              <c:f>'DNLEU Results'!$B$381:$G$381</c:f>
              <c:numCache>
                <c:formatCode>General</c:formatCode>
                <c:ptCount val="6"/>
                <c:pt idx="0">
                  <c:v>43.5</c:v>
                </c:pt>
                <c:pt idx="1">
                  <c:v>232.5</c:v>
                </c:pt>
                <c:pt idx="2">
                  <c:v>1149</c:v>
                </c:pt>
                <c:pt idx="3">
                  <c:v>0</c:v>
                </c:pt>
                <c:pt idx="4">
                  <c:v>0</c:v>
                </c:pt>
                <c:pt idx="5">
                  <c:v>1425</c:v>
                </c:pt>
              </c:numCache>
            </c:numRef>
          </c:val>
        </c:ser>
        <c:ser>
          <c:idx val="6"/>
          <c:order val="6"/>
          <c:tx>
            <c:strRef>
              <c:f>'DNLEU Results'!$A$382</c:f>
              <c:strCache>
                <c:ptCount val="1"/>
                <c:pt idx="0">
                  <c:v>Overpacked LTIS as LLW</c:v>
                </c:pt>
              </c:strCache>
            </c:strRef>
          </c:tx>
          <c:spPr>
            <a:pattFill prst="wdDnDiag">
              <a:fgClr>
                <a:srgbClr val="EF383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Results'!$B$375:$G$375</c:f>
              <c:strCache>
                <c:ptCount val="6"/>
                <c:pt idx="0">
                  <c:v>LTIS Package Cost (Ave)</c:v>
                </c:pt>
                <c:pt idx="1">
                  <c:v>Disposal Package Costs (Ave)</c:v>
                </c:pt>
                <c:pt idx="2">
                  <c:v>ILW Disposal Costs (Ave)</c:v>
                </c:pt>
                <c:pt idx="3">
                  <c:v>LLW Disposal Costs (Ave)</c:v>
                </c:pt>
                <c:pt idx="4">
                  <c:v>DV70 VLLW Disposal Costs (Ave)</c:v>
                </c:pt>
                <c:pt idx="5">
                  <c:v>Total Costs (Ave)</c:v>
                </c:pt>
              </c:strCache>
            </c:strRef>
          </c:cat>
          <c:val>
            <c:numRef>
              <c:f>'DNLEU Results'!$B$382:$G$382</c:f>
              <c:numCache>
                <c:formatCode>General</c:formatCode>
                <c:ptCount val="6"/>
                <c:pt idx="0">
                  <c:v>43.5</c:v>
                </c:pt>
                <c:pt idx="1">
                  <c:v>232.5</c:v>
                </c:pt>
                <c:pt idx="2">
                  <c:v>0</c:v>
                </c:pt>
                <c:pt idx="3">
                  <c:v>611</c:v>
                </c:pt>
                <c:pt idx="4">
                  <c:v>0</c:v>
                </c:pt>
                <c:pt idx="5">
                  <c:v>887</c:v>
                </c:pt>
              </c:numCache>
            </c:numRef>
          </c:val>
        </c:ser>
        <c:ser>
          <c:idx val="7"/>
          <c:order val="7"/>
          <c:tx>
            <c:strRef>
              <c:f>'DNLEU Results'!$A$383</c:f>
              <c:strCache>
                <c:ptCount val="1"/>
                <c:pt idx="0">
                  <c:v>Overpacked LTIS as LLW (carbon steel containers)</c:v>
                </c:pt>
              </c:strCache>
            </c:strRef>
          </c:tx>
          <c:spPr>
            <a:pattFill prst="ltDnDiag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'DNLEU Results'!$B$375:$G$375</c:f>
              <c:strCache>
                <c:ptCount val="6"/>
                <c:pt idx="0">
                  <c:v>LTIS Package Cost (Ave)</c:v>
                </c:pt>
                <c:pt idx="1">
                  <c:v>Disposal Package Costs (Ave)</c:v>
                </c:pt>
                <c:pt idx="2">
                  <c:v>ILW Disposal Costs (Ave)</c:v>
                </c:pt>
                <c:pt idx="3">
                  <c:v>LLW Disposal Costs (Ave)</c:v>
                </c:pt>
                <c:pt idx="4">
                  <c:v>DV70 VLLW Disposal Costs (Ave)</c:v>
                </c:pt>
                <c:pt idx="5">
                  <c:v>Total Costs (Ave)</c:v>
                </c:pt>
              </c:strCache>
            </c:strRef>
          </c:cat>
          <c:val>
            <c:numRef>
              <c:f>'DNLEU Results'!$B$383:$G$383</c:f>
              <c:numCache>
                <c:formatCode>General</c:formatCode>
                <c:ptCount val="6"/>
                <c:pt idx="0">
                  <c:v>43.5</c:v>
                </c:pt>
                <c:pt idx="1">
                  <c:v>102</c:v>
                </c:pt>
                <c:pt idx="2">
                  <c:v>0</c:v>
                </c:pt>
                <c:pt idx="3">
                  <c:v>611</c:v>
                </c:pt>
                <c:pt idx="4">
                  <c:v>0</c:v>
                </c:pt>
                <c:pt idx="5">
                  <c:v>756.5</c:v>
                </c:pt>
              </c:numCache>
            </c:numRef>
          </c:val>
        </c:ser>
        <c:axId val="38048512"/>
        <c:axId val="38050432"/>
      </c:barChart>
      <c:catAx>
        <c:axId val="380485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Cost Element</a:t>
                </a:r>
              </a:p>
            </c:rich>
          </c:tx>
          <c:layout>
            <c:manualLayout>
              <c:xMode val="edge"/>
              <c:yMode val="edge"/>
              <c:x val="0.3303412073490814"/>
              <c:y val="0.892756210706219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50432"/>
        <c:crosses val="autoZero"/>
        <c:auto val="1"/>
        <c:lblAlgn val="ctr"/>
        <c:lblOffset val="100"/>
        <c:tickLblSkip val="2"/>
        <c:tickMarkSkip val="1"/>
      </c:catAx>
      <c:valAx>
        <c:axId val="380504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Costs (£million)</a:t>
                </a:r>
              </a:p>
            </c:rich>
          </c:tx>
          <c:layout>
            <c:manualLayout>
              <c:xMode val="edge"/>
              <c:yMode val="edge"/>
              <c:x val="2.8725553274712257E-2"/>
              <c:y val="0.3478270158090703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4851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677108042303814"/>
          <c:y val="0.12244915390561496"/>
          <c:w val="0.27431932674121356"/>
          <c:h val="0.8513131652485611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Comparison of DNLEU Average Total Storage and Disposal Costs</a:t>
            </a:r>
          </a:p>
        </c:rich>
      </c:tx>
      <c:layout>
        <c:manualLayout>
          <c:xMode val="edge"/>
          <c:yMode val="edge"/>
          <c:x val="0.11775709854450012"/>
          <c:y val="3.426791277258566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7358490566037691E-2"/>
          <c:y val="0.36904654643744605"/>
          <c:w val="0.90188679245282999"/>
          <c:h val="0.184523273218723"/>
        </c:manualLayout>
      </c:layout>
      <c:lineChart>
        <c:grouping val="standard"/>
        <c:ser>
          <c:idx val="1"/>
          <c:order val="1"/>
          <c:tx>
            <c:strRef>
              <c:f>'DNLEU Results'!$C$385</c:f>
              <c:strCache>
                <c:ptCount val="1"/>
                <c:pt idx="0">
                  <c:v>Total Ave. Costs by £/m3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strRef>
              <c:f>'DNLEU Results'!$A$386:$A$393</c:f>
              <c:strCache>
                <c:ptCount val="8"/>
                <c:pt idx="0">
                  <c:v>Baseline 500l Drums</c:v>
                </c:pt>
                <c:pt idx="1">
                  <c:v>HHISO/Liner</c:v>
                </c:pt>
                <c:pt idx="2">
                  <c:v>Grouted 4m Boxes</c:v>
                </c:pt>
                <c:pt idx="3">
                  <c:v>200l Drums/4m Boxes</c:v>
                </c:pt>
                <c:pt idx="4">
                  <c:v>3m3 Drums</c:v>
                </c:pt>
                <c:pt idx="5">
                  <c:v>Overpacked LTIS as HAW</c:v>
                </c:pt>
                <c:pt idx="6">
                  <c:v>Overpacked LTIS as LLW</c:v>
                </c:pt>
                <c:pt idx="7">
                  <c:v>Overpacked LTIS as LLW (carbon steel containers)</c:v>
                </c:pt>
              </c:strCache>
            </c:strRef>
          </c:cat>
          <c:val>
            <c:numRef>
              <c:f>'DNLEU Results'!$C$386:$C$393</c:f>
              <c:numCache>
                <c:formatCode>General</c:formatCode>
                <c:ptCount val="8"/>
                <c:pt idx="0">
                  <c:v>1047.5</c:v>
                </c:pt>
                <c:pt idx="1">
                  <c:v>734.5</c:v>
                </c:pt>
                <c:pt idx="2">
                  <c:v>1129</c:v>
                </c:pt>
                <c:pt idx="3">
                  <c:v>775.5</c:v>
                </c:pt>
                <c:pt idx="4">
                  <c:v>964.5</c:v>
                </c:pt>
                <c:pt idx="5">
                  <c:v>1425</c:v>
                </c:pt>
                <c:pt idx="6">
                  <c:v>887</c:v>
                </c:pt>
                <c:pt idx="7">
                  <c:v>756.5</c:v>
                </c:pt>
              </c:numCache>
            </c:numRef>
          </c:val>
        </c:ser>
        <c:marker val="1"/>
        <c:axId val="38083968"/>
        <c:axId val="38098816"/>
      </c:lineChart>
      <c:scatterChart>
        <c:scatterStyle val="lineMarker"/>
        <c:ser>
          <c:idx val="0"/>
          <c:order val="0"/>
          <c:tx>
            <c:strRef>
              <c:f>'DNLEU Results'!$B$385</c:f>
              <c:strCache>
                <c:ptCount val="1"/>
                <c:pt idx="0">
                  <c:v>Total Ave.Costs by Vault Volume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xVal>
            <c:strRef>
              <c:f>'DNLEU Results'!$A$386:$A$393</c:f>
              <c:strCache>
                <c:ptCount val="8"/>
                <c:pt idx="0">
                  <c:v>Baseline 500l Drums</c:v>
                </c:pt>
                <c:pt idx="1">
                  <c:v>HHISO/Liner</c:v>
                </c:pt>
                <c:pt idx="2">
                  <c:v>Grouted 4m Boxes</c:v>
                </c:pt>
                <c:pt idx="3">
                  <c:v>200l Drums/4m Boxes</c:v>
                </c:pt>
                <c:pt idx="4">
                  <c:v>3m3 Drums</c:v>
                </c:pt>
                <c:pt idx="5">
                  <c:v>Overpacked LTIS as HAW</c:v>
                </c:pt>
                <c:pt idx="6">
                  <c:v>Overpacked LTIS as LLW</c:v>
                </c:pt>
                <c:pt idx="7">
                  <c:v>Overpacked LTIS as LLW (carbon steel containers)</c:v>
                </c:pt>
              </c:strCache>
            </c:strRef>
          </c:xVal>
          <c:yVal>
            <c:numRef>
              <c:f>'DNLEU Results'!$B$386:$B$393</c:f>
              <c:numCache>
                <c:formatCode>General</c:formatCode>
                <c:ptCount val="8"/>
                <c:pt idx="0">
                  <c:v>700</c:v>
                </c:pt>
                <c:pt idx="1">
                  <c:v>348.5</c:v>
                </c:pt>
                <c:pt idx="2">
                  <c:v>655.5</c:v>
                </c:pt>
                <c:pt idx="3">
                  <c:v>534.5</c:v>
                </c:pt>
                <c:pt idx="4">
                  <c:v>985.5</c:v>
                </c:pt>
                <c:pt idx="5">
                  <c:v>764.5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</c:ser>
        <c:axId val="38083968"/>
        <c:axId val="38098816"/>
      </c:scatterChart>
      <c:catAx>
        <c:axId val="380839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Cost Element</a:t>
                </a:r>
              </a:p>
            </c:rich>
          </c:tx>
          <c:layout>
            <c:manualLayout>
              <c:xMode val="edge"/>
              <c:yMode val="edge"/>
              <c:x val="0.50280401726643675"/>
              <c:y val="0.8847378189875798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6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98816"/>
        <c:crosses val="autoZero"/>
        <c:auto val="1"/>
        <c:lblAlgn val="ctr"/>
        <c:lblOffset val="100"/>
        <c:tickLblSkip val="1"/>
        <c:tickMarkSkip val="1"/>
      </c:catAx>
      <c:valAx>
        <c:axId val="380988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Cost £million</a:t>
                </a:r>
              </a:p>
            </c:rich>
          </c:tx>
          <c:layout>
            <c:manualLayout>
              <c:xMode val="edge"/>
              <c:yMode val="edge"/>
              <c:x val="2.990668315220928E-2"/>
              <c:y val="0.3333343145190963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8396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06274988195822"/>
          <c:y val="0.18012449674352307"/>
          <c:w val="0.52970382390906035"/>
          <c:h val="0.152174143800562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560238371099701E-2"/>
          <c:y val="0.24161133208531804"/>
          <c:w val="0.88145397781539192"/>
          <c:h val="0.29530273921538908"/>
        </c:manualLayout>
      </c:layout>
      <c:lineChart>
        <c:grouping val="standard"/>
        <c:ser>
          <c:idx val="1"/>
          <c:order val="1"/>
          <c:tx>
            <c:strRef>
              <c:f>'DNLEU Results'!$C$395</c:f>
              <c:strCache>
                <c:ptCount val="1"/>
                <c:pt idx="0">
                  <c:v>Average Total Disposal Cost by £/m3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'DNLEU Results'!$A$396:$A$401</c:f>
              <c:strCache>
                <c:ptCount val="6"/>
                <c:pt idx="0">
                  <c:v>Baseline 500l Drums</c:v>
                </c:pt>
                <c:pt idx="1">
                  <c:v>HHISO/Liner</c:v>
                </c:pt>
                <c:pt idx="2">
                  <c:v>Grouted 4m Boxes</c:v>
                </c:pt>
                <c:pt idx="3">
                  <c:v>200l Drums/4m Boxes</c:v>
                </c:pt>
                <c:pt idx="4">
                  <c:v>3m3 Drums</c:v>
                </c:pt>
                <c:pt idx="5">
                  <c:v>Overpacked LTIS as HAW</c:v>
                </c:pt>
              </c:strCache>
            </c:strRef>
          </c:cat>
          <c:val>
            <c:numRef>
              <c:f>'DNLEU Results'!$C$396:$C$401</c:f>
              <c:numCache>
                <c:formatCode>General</c:formatCode>
                <c:ptCount val="6"/>
                <c:pt idx="0">
                  <c:v>1579</c:v>
                </c:pt>
                <c:pt idx="1">
                  <c:v>794</c:v>
                </c:pt>
                <c:pt idx="2">
                  <c:v>1319</c:v>
                </c:pt>
                <c:pt idx="3">
                  <c:v>832</c:v>
                </c:pt>
                <c:pt idx="4">
                  <c:v>1258</c:v>
                </c:pt>
                <c:pt idx="5">
                  <c:v>1560</c:v>
                </c:pt>
              </c:numCache>
            </c:numRef>
          </c:val>
        </c:ser>
        <c:marker val="1"/>
        <c:axId val="38136448"/>
        <c:axId val="38139008"/>
      </c:lineChart>
      <c:scatterChart>
        <c:scatterStyle val="lineMarker"/>
        <c:ser>
          <c:idx val="0"/>
          <c:order val="0"/>
          <c:tx>
            <c:strRef>
              <c:f>'DNLEU Results'!$B$395</c:f>
              <c:strCache>
                <c:ptCount val="1"/>
                <c:pt idx="0">
                  <c:v>Average Total Disposal Cost by Vault Volume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4F81BD"/>
              </a:solidFill>
              <a:ln>
                <a:solidFill>
                  <a:srgbClr val="3F77BE"/>
                </a:solidFill>
                <a:prstDash val="solid"/>
              </a:ln>
            </c:spPr>
          </c:marker>
          <c:xVal>
            <c:strRef>
              <c:f>'DNLEU Results'!$A$396:$A$401</c:f>
              <c:strCache>
                <c:ptCount val="6"/>
                <c:pt idx="0">
                  <c:v>Baseline 500l Drums</c:v>
                </c:pt>
                <c:pt idx="1">
                  <c:v>HHISO/Liner</c:v>
                </c:pt>
                <c:pt idx="2">
                  <c:v>Grouted 4m Boxes</c:v>
                </c:pt>
                <c:pt idx="3">
                  <c:v>200l Drums/4m Boxes</c:v>
                </c:pt>
                <c:pt idx="4">
                  <c:v>3m3 Drums</c:v>
                </c:pt>
                <c:pt idx="5">
                  <c:v>Overpacked LTIS as HAW</c:v>
                </c:pt>
              </c:strCache>
            </c:strRef>
          </c:xVal>
          <c:yVal>
            <c:numRef>
              <c:f>'DNLEU Results'!$B$396:$B$401</c:f>
              <c:numCache>
                <c:formatCode>General</c:formatCode>
                <c:ptCount val="6"/>
                <c:pt idx="0">
                  <c:v>664</c:v>
                </c:pt>
                <c:pt idx="1">
                  <c:v>336</c:v>
                </c:pt>
                <c:pt idx="2">
                  <c:v>643</c:v>
                </c:pt>
                <c:pt idx="3">
                  <c:v>523</c:v>
                </c:pt>
                <c:pt idx="4">
                  <c:v>929</c:v>
                </c:pt>
                <c:pt idx="5">
                  <c:v>715</c:v>
                </c:pt>
              </c:numCache>
            </c:numRef>
          </c:yVal>
        </c:ser>
        <c:axId val="38136448"/>
        <c:axId val="38139008"/>
      </c:scatterChart>
      <c:catAx>
        <c:axId val="381364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Cost Element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8139008"/>
        <c:crosses val="autoZero"/>
        <c:auto val="1"/>
        <c:lblAlgn val="ctr"/>
        <c:lblOffset val="100"/>
        <c:tickMarkSkip val="1"/>
      </c:catAx>
      <c:valAx>
        <c:axId val="38139008"/>
        <c:scaling>
          <c:orientation val="minMax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Cost £million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/>
          <a:lstStyle/>
          <a:p>
            <a:pPr>
              <a:defRPr lang="en-GB"/>
            </a:pPr>
            <a:endParaRPr lang="en-US"/>
          </a:p>
        </c:txPr>
        <c:crossAx val="381364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8136439267886856"/>
          <c:y val="2.5547445255474453E-2"/>
          <c:w val="0.65723793677204656"/>
          <c:h val="0.29927007299270075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GB"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969696"/>
      </a:solidFill>
      <a:prstDash val="solid"/>
    </a:ln>
  </c:sp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1240875912408703E-2"/>
          <c:y val="0.24019550351489802"/>
          <c:w val="0.88868613138686092"/>
          <c:h val="0.3872539750546321"/>
        </c:manualLayout>
      </c:layout>
      <c:barChart>
        <c:barDir val="col"/>
        <c:grouping val="clustered"/>
        <c:ser>
          <c:idx val="0"/>
          <c:order val="0"/>
          <c:tx>
            <c:strRef>
              <c:f>'DNLEU Results'!$I$346</c:f>
              <c:strCache>
                <c:ptCount val="1"/>
                <c:pt idx="0">
                  <c:v>Baseline 500l Drums</c:v>
                </c:pt>
              </c:strCache>
            </c:strRef>
          </c:tx>
          <c:spPr>
            <a:solidFill>
              <a:srgbClr val="4572A7"/>
            </a:solidFill>
            <a:ln w="25400">
              <a:noFill/>
            </a:ln>
          </c:spPr>
          <c:cat>
            <c:strRef>
              <c:f>'DNLEU Results'!$J$345:$P$345</c:f>
              <c:strCache>
                <c:ptCount val="7"/>
                <c:pt idx="0">
                  <c:v>LTIS Package Cost (Ave)</c:v>
                </c:pt>
                <c:pt idx="1">
                  <c:v>Disposal Package Costs (Ave)</c:v>
                </c:pt>
                <c:pt idx="2">
                  <c:v>Transport Cost (Ave)</c:v>
                </c:pt>
                <c:pt idx="3">
                  <c:v>Scaled HAW Disposal Costs (Ave)</c:v>
                </c:pt>
                <c:pt idx="4">
                  <c:v>LLW Disposal Costs (Ave)</c:v>
                </c:pt>
                <c:pt idx="5">
                  <c:v>DV70 VLLW Disposal Costs (Ave)</c:v>
                </c:pt>
                <c:pt idx="6">
                  <c:v>Total Costs (Ave)</c:v>
                </c:pt>
              </c:strCache>
            </c:strRef>
          </c:cat>
          <c:val>
            <c:numRef>
              <c:f>'DNLEU Results'!$J$346:$P$346</c:f>
              <c:numCache>
                <c:formatCode>General</c:formatCode>
                <c:ptCount val="7"/>
                <c:pt idx="0">
                  <c:v>53</c:v>
                </c:pt>
                <c:pt idx="1">
                  <c:v>231</c:v>
                </c:pt>
                <c:pt idx="2">
                  <c:v>34</c:v>
                </c:pt>
                <c:pt idx="3">
                  <c:v>335</c:v>
                </c:pt>
                <c:pt idx="4">
                  <c:v>0</c:v>
                </c:pt>
                <c:pt idx="5">
                  <c:v>10.5</c:v>
                </c:pt>
                <c:pt idx="6">
                  <c:v>663.5</c:v>
                </c:pt>
              </c:numCache>
            </c:numRef>
          </c:val>
        </c:ser>
        <c:ser>
          <c:idx val="1"/>
          <c:order val="1"/>
          <c:tx>
            <c:strRef>
              <c:f>'DNLEU Results'!$I$347</c:f>
              <c:strCache>
                <c:ptCount val="1"/>
                <c:pt idx="0">
                  <c:v>HHISO/Liner</c:v>
                </c:pt>
              </c:strCache>
            </c:strRef>
          </c:tx>
          <c:spPr>
            <a:solidFill>
              <a:srgbClr val="AA4643"/>
            </a:solidFill>
            <a:ln w="25400">
              <a:noFill/>
            </a:ln>
          </c:spPr>
          <c:cat>
            <c:strRef>
              <c:f>'DNLEU Results'!$J$345:$P$345</c:f>
              <c:strCache>
                <c:ptCount val="7"/>
                <c:pt idx="0">
                  <c:v>LTIS Package Cost (Ave)</c:v>
                </c:pt>
                <c:pt idx="1">
                  <c:v>Disposal Package Costs (Ave)</c:v>
                </c:pt>
                <c:pt idx="2">
                  <c:v>Transport Cost (Ave)</c:v>
                </c:pt>
                <c:pt idx="3">
                  <c:v>Scaled HAW Disposal Costs (Ave)</c:v>
                </c:pt>
                <c:pt idx="4">
                  <c:v>LLW Disposal Costs (Ave)</c:v>
                </c:pt>
                <c:pt idx="5">
                  <c:v>DV70 VLLW Disposal Costs (Ave)</c:v>
                </c:pt>
                <c:pt idx="6">
                  <c:v>Total Costs (Ave)</c:v>
                </c:pt>
              </c:strCache>
            </c:strRef>
          </c:cat>
          <c:val>
            <c:numRef>
              <c:f>'DNLEU Results'!$J$347:$P$347</c:f>
              <c:numCache>
                <c:formatCode>General</c:formatCode>
                <c:ptCount val="7"/>
                <c:pt idx="0">
                  <c:v>53</c:v>
                </c:pt>
                <c:pt idx="1">
                  <c:v>61.5</c:v>
                </c:pt>
                <c:pt idx="2">
                  <c:v>26</c:v>
                </c:pt>
                <c:pt idx="3">
                  <c:v>185</c:v>
                </c:pt>
                <c:pt idx="4">
                  <c:v>0</c:v>
                </c:pt>
                <c:pt idx="5">
                  <c:v>10.5</c:v>
                </c:pt>
                <c:pt idx="6">
                  <c:v>336</c:v>
                </c:pt>
              </c:numCache>
            </c:numRef>
          </c:val>
        </c:ser>
        <c:ser>
          <c:idx val="2"/>
          <c:order val="2"/>
          <c:tx>
            <c:strRef>
              <c:f>'DNLEU Results'!$I$348</c:f>
              <c:strCache>
                <c:ptCount val="1"/>
                <c:pt idx="0">
                  <c:v>Grouted 4m Boxes</c:v>
                </c:pt>
              </c:strCache>
            </c:strRef>
          </c:tx>
          <c:spPr>
            <a:solidFill>
              <a:srgbClr val="89A54E"/>
            </a:solidFill>
            <a:ln w="25400">
              <a:noFill/>
            </a:ln>
          </c:spPr>
          <c:cat>
            <c:strRef>
              <c:f>'DNLEU Results'!$J$345:$P$345</c:f>
              <c:strCache>
                <c:ptCount val="7"/>
                <c:pt idx="0">
                  <c:v>LTIS Package Cost (Ave)</c:v>
                </c:pt>
                <c:pt idx="1">
                  <c:v>Disposal Package Costs (Ave)</c:v>
                </c:pt>
                <c:pt idx="2">
                  <c:v>Transport Cost (Ave)</c:v>
                </c:pt>
                <c:pt idx="3">
                  <c:v>Scaled HAW Disposal Costs (Ave)</c:v>
                </c:pt>
                <c:pt idx="4">
                  <c:v>LLW Disposal Costs (Ave)</c:v>
                </c:pt>
                <c:pt idx="5">
                  <c:v>DV70 VLLW Disposal Costs (Ave)</c:v>
                </c:pt>
                <c:pt idx="6">
                  <c:v>Total Costs (Ave)</c:v>
                </c:pt>
              </c:strCache>
            </c:strRef>
          </c:cat>
          <c:val>
            <c:numRef>
              <c:f>'DNLEU Results'!$J$348:$P$348</c:f>
              <c:numCache>
                <c:formatCode>General</c:formatCode>
                <c:ptCount val="7"/>
                <c:pt idx="0">
                  <c:v>53</c:v>
                </c:pt>
                <c:pt idx="1">
                  <c:v>187.5</c:v>
                </c:pt>
                <c:pt idx="2">
                  <c:v>42</c:v>
                </c:pt>
                <c:pt idx="3">
                  <c:v>349.5</c:v>
                </c:pt>
                <c:pt idx="4">
                  <c:v>0</c:v>
                </c:pt>
                <c:pt idx="5">
                  <c:v>10.5</c:v>
                </c:pt>
                <c:pt idx="6">
                  <c:v>642.5</c:v>
                </c:pt>
              </c:numCache>
            </c:numRef>
          </c:val>
        </c:ser>
        <c:ser>
          <c:idx val="3"/>
          <c:order val="3"/>
          <c:tx>
            <c:strRef>
              <c:f>'DNLEU Results'!$I$349</c:f>
              <c:strCache>
                <c:ptCount val="1"/>
                <c:pt idx="0">
                  <c:v>200l Drums/4m Boxes</c:v>
                </c:pt>
              </c:strCache>
            </c:strRef>
          </c:tx>
          <c:spPr>
            <a:solidFill>
              <a:srgbClr val="71588F"/>
            </a:solidFill>
            <a:ln w="25400">
              <a:noFill/>
            </a:ln>
          </c:spPr>
          <c:cat>
            <c:strRef>
              <c:f>'DNLEU Results'!$J$345:$P$345</c:f>
              <c:strCache>
                <c:ptCount val="7"/>
                <c:pt idx="0">
                  <c:v>LTIS Package Cost (Ave)</c:v>
                </c:pt>
                <c:pt idx="1">
                  <c:v>Disposal Package Costs (Ave)</c:v>
                </c:pt>
                <c:pt idx="2">
                  <c:v>Transport Cost (Ave)</c:v>
                </c:pt>
                <c:pt idx="3">
                  <c:v>Scaled HAW Disposal Costs (Ave)</c:v>
                </c:pt>
                <c:pt idx="4">
                  <c:v>LLW Disposal Costs (Ave)</c:v>
                </c:pt>
                <c:pt idx="5">
                  <c:v>DV70 VLLW Disposal Costs (Ave)</c:v>
                </c:pt>
                <c:pt idx="6">
                  <c:v>Total Costs (Ave)</c:v>
                </c:pt>
              </c:strCache>
            </c:strRef>
          </c:cat>
          <c:val>
            <c:numRef>
              <c:f>'DNLEU Results'!$J$349:$P$349</c:f>
              <c:numCache>
                <c:formatCode>General</c:formatCode>
                <c:ptCount val="7"/>
                <c:pt idx="0">
                  <c:v>53</c:v>
                </c:pt>
                <c:pt idx="1">
                  <c:v>290</c:v>
                </c:pt>
                <c:pt idx="2">
                  <c:v>19</c:v>
                </c:pt>
                <c:pt idx="3">
                  <c:v>150</c:v>
                </c:pt>
                <c:pt idx="4">
                  <c:v>0</c:v>
                </c:pt>
                <c:pt idx="5">
                  <c:v>10.5</c:v>
                </c:pt>
                <c:pt idx="6">
                  <c:v>522.5</c:v>
                </c:pt>
              </c:numCache>
            </c:numRef>
          </c:val>
        </c:ser>
        <c:ser>
          <c:idx val="4"/>
          <c:order val="4"/>
          <c:tx>
            <c:strRef>
              <c:f>'DNLEU Results'!$I$350</c:f>
              <c:strCache>
                <c:ptCount val="1"/>
                <c:pt idx="0">
                  <c:v>3m3 Drums</c:v>
                </c:pt>
              </c:strCache>
            </c:strRef>
          </c:tx>
          <c:spPr>
            <a:solidFill>
              <a:srgbClr val="4198AF"/>
            </a:solidFill>
            <a:ln w="25400">
              <a:noFill/>
            </a:ln>
          </c:spPr>
          <c:cat>
            <c:strRef>
              <c:f>'DNLEU Results'!$J$345:$P$345</c:f>
              <c:strCache>
                <c:ptCount val="7"/>
                <c:pt idx="0">
                  <c:v>LTIS Package Cost (Ave)</c:v>
                </c:pt>
                <c:pt idx="1">
                  <c:v>Disposal Package Costs (Ave)</c:v>
                </c:pt>
                <c:pt idx="2">
                  <c:v>Transport Cost (Ave)</c:v>
                </c:pt>
                <c:pt idx="3">
                  <c:v>Scaled HAW Disposal Costs (Ave)</c:v>
                </c:pt>
                <c:pt idx="4">
                  <c:v>LLW Disposal Costs (Ave)</c:v>
                </c:pt>
                <c:pt idx="5">
                  <c:v>DV70 VLLW Disposal Costs (Ave)</c:v>
                </c:pt>
                <c:pt idx="6">
                  <c:v>Total Costs (Ave)</c:v>
                </c:pt>
              </c:strCache>
            </c:strRef>
          </c:cat>
          <c:val>
            <c:numRef>
              <c:f>'DNLEU Results'!$J$350:$P$350</c:f>
              <c:numCache>
                <c:formatCode>General</c:formatCode>
                <c:ptCount val="7"/>
                <c:pt idx="0">
                  <c:v>53</c:v>
                </c:pt>
                <c:pt idx="1">
                  <c:v>484.5</c:v>
                </c:pt>
                <c:pt idx="2">
                  <c:v>19</c:v>
                </c:pt>
                <c:pt idx="3">
                  <c:v>362</c:v>
                </c:pt>
                <c:pt idx="4">
                  <c:v>0</c:v>
                </c:pt>
                <c:pt idx="5">
                  <c:v>10.5</c:v>
                </c:pt>
                <c:pt idx="6">
                  <c:v>929</c:v>
                </c:pt>
              </c:numCache>
            </c:numRef>
          </c:val>
        </c:ser>
        <c:ser>
          <c:idx val="5"/>
          <c:order val="5"/>
          <c:tx>
            <c:strRef>
              <c:f>'DNLEU Results'!$I$351</c:f>
              <c:strCache>
                <c:ptCount val="1"/>
                <c:pt idx="0">
                  <c:v>Overpacked LTIS as HAW</c:v>
                </c:pt>
              </c:strCache>
            </c:strRef>
          </c:tx>
          <c:spPr>
            <a:pattFill prst="dkUpDiag">
              <a:fgClr>
                <a:srgbClr val="FF0000"/>
              </a:fgClr>
              <a:bgClr>
                <a:srgbClr val="FFFFFF"/>
              </a:bgClr>
            </a:pattFill>
            <a:ln w="25400">
              <a:noFill/>
            </a:ln>
          </c:spPr>
          <c:cat>
            <c:strRef>
              <c:f>'DNLEU Results'!$J$345:$P$345</c:f>
              <c:strCache>
                <c:ptCount val="7"/>
                <c:pt idx="0">
                  <c:v>LTIS Package Cost (Ave)</c:v>
                </c:pt>
                <c:pt idx="1">
                  <c:v>Disposal Package Costs (Ave)</c:v>
                </c:pt>
                <c:pt idx="2">
                  <c:v>Transport Cost (Ave)</c:v>
                </c:pt>
                <c:pt idx="3">
                  <c:v>Scaled HAW Disposal Costs (Ave)</c:v>
                </c:pt>
                <c:pt idx="4">
                  <c:v>LLW Disposal Costs (Ave)</c:v>
                </c:pt>
                <c:pt idx="5">
                  <c:v>DV70 VLLW Disposal Costs (Ave)</c:v>
                </c:pt>
                <c:pt idx="6">
                  <c:v>Total Costs (Ave)</c:v>
                </c:pt>
              </c:strCache>
            </c:strRef>
          </c:cat>
          <c:val>
            <c:numRef>
              <c:f>'DNLEU Results'!$J$351:$P$351</c:f>
              <c:numCache>
                <c:formatCode>General</c:formatCode>
                <c:ptCount val="7"/>
                <c:pt idx="0">
                  <c:v>44</c:v>
                </c:pt>
                <c:pt idx="1">
                  <c:v>216.5</c:v>
                </c:pt>
                <c:pt idx="2">
                  <c:v>51</c:v>
                </c:pt>
                <c:pt idx="3">
                  <c:v>403.5</c:v>
                </c:pt>
                <c:pt idx="4">
                  <c:v>0</c:v>
                </c:pt>
                <c:pt idx="5">
                  <c:v>0</c:v>
                </c:pt>
                <c:pt idx="6">
                  <c:v>715</c:v>
                </c:pt>
              </c:numCache>
            </c:numRef>
          </c:val>
        </c:ser>
        <c:axId val="38212352"/>
        <c:axId val="38214272"/>
      </c:barChart>
      <c:catAx>
        <c:axId val="382123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Cost Element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8214272"/>
        <c:crosses val="autoZero"/>
        <c:auto val="1"/>
        <c:lblAlgn val="ctr"/>
        <c:lblOffset val="100"/>
      </c:catAx>
      <c:valAx>
        <c:axId val="38214272"/>
        <c:scaling>
          <c:orientation val="minMax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Cost £milliom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/>
          <a:lstStyle/>
          <a:p>
            <a:pPr>
              <a:defRPr lang="en-GB"/>
            </a:pPr>
            <a:endParaRPr lang="en-US"/>
          </a:p>
        </c:txPr>
        <c:crossAx val="382123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0574194724062256"/>
          <c:y val="1.8018070858175143E-2"/>
          <c:w val="0.55980948435239164"/>
          <c:h val="0.19519576763023072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GB"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969696"/>
      </a:solidFill>
      <a:prstDash val="solid"/>
    </a:ln>
  </c:sp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8438686200081523E-2"/>
          <c:y val="6.8965444666953618E-2"/>
          <c:w val="0.65594550930137718"/>
          <c:h val="0.49598405944978108"/>
        </c:manualLayout>
      </c:layout>
      <c:barChart>
        <c:barDir val="col"/>
        <c:grouping val="clustered"/>
        <c:ser>
          <c:idx val="0"/>
          <c:order val="0"/>
          <c:tx>
            <c:strRef>
              <c:f>'DNLEU Results'!$I$376</c:f>
              <c:strCache>
                <c:ptCount val="1"/>
                <c:pt idx="0">
                  <c:v>DDS1 500l Drum(Baseline)</c:v>
                </c:pt>
              </c:strCache>
            </c:strRef>
          </c:tx>
          <c:spPr>
            <a:solidFill>
              <a:srgbClr val="4572A7"/>
            </a:solidFill>
            <a:ln w="25400">
              <a:noFill/>
            </a:ln>
          </c:spPr>
          <c:cat>
            <c:strRef>
              <c:f>'DNLEU Results'!$J$375:$P$375</c:f>
              <c:strCache>
                <c:ptCount val="7"/>
                <c:pt idx="0">
                  <c:v>LTIS Package Cost (Ave)</c:v>
                </c:pt>
                <c:pt idx="1">
                  <c:v>Disposal Package Costs (Ave)</c:v>
                </c:pt>
                <c:pt idx="2">
                  <c:v>Transport Cost (Ave)</c:v>
                </c:pt>
                <c:pt idx="3">
                  <c:v>GDF Disposal Volume Costs (Ave)</c:v>
                </c:pt>
                <c:pt idx="4">
                  <c:v>LLW Disposal Costs (Ave)</c:v>
                </c:pt>
                <c:pt idx="5">
                  <c:v>DV70 VLLW Disposal Costs (Ave)</c:v>
                </c:pt>
                <c:pt idx="6">
                  <c:v>Total Costs (Ave)</c:v>
                </c:pt>
              </c:strCache>
            </c:strRef>
          </c:cat>
          <c:val>
            <c:numRef>
              <c:f>'DNLEU Results'!$J$376:$P$376</c:f>
              <c:numCache>
                <c:formatCode>General</c:formatCode>
                <c:ptCount val="7"/>
                <c:pt idx="0">
                  <c:v>53</c:v>
                </c:pt>
                <c:pt idx="1">
                  <c:v>231</c:v>
                </c:pt>
                <c:pt idx="2">
                  <c:v>34</c:v>
                </c:pt>
                <c:pt idx="3">
                  <c:v>1250</c:v>
                </c:pt>
                <c:pt idx="4">
                  <c:v>0</c:v>
                </c:pt>
                <c:pt idx="5">
                  <c:v>10.5</c:v>
                </c:pt>
                <c:pt idx="6">
                  <c:v>1578.5</c:v>
                </c:pt>
              </c:numCache>
            </c:numRef>
          </c:val>
        </c:ser>
        <c:ser>
          <c:idx val="1"/>
          <c:order val="1"/>
          <c:tx>
            <c:strRef>
              <c:f>'DNLEU Results'!$I$377</c:f>
              <c:strCache>
                <c:ptCount val="1"/>
                <c:pt idx="0">
                  <c:v>DDS2 (HHISO/Liner)</c:v>
                </c:pt>
              </c:strCache>
            </c:strRef>
          </c:tx>
          <c:spPr>
            <a:solidFill>
              <a:srgbClr val="AA4643"/>
            </a:solidFill>
            <a:ln w="25400">
              <a:noFill/>
            </a:ln>
          </c:spPr>
          <c:cat>
            <c:strRef>
              <c:f>'DNLEU Results'!$J$375:$P$375</c:f>
              <c:strCache>
                <c:ptCount val="7"/>
                <c:pt idx="0">
                  <c:v>LTIS Package Cost (Ave)</c:v>
                </c:pt>
                <c:pt idx="1">
                  <c:v>Disposal Package Costs (Ave)</c:v>
                </c:pt>
                <c:pt idx="2">
                  <c:v>Transport Cost (Ave)</c:v>
                </c:pt>
                <c:pt idx="3">
                  <c:v>GDF Disposal Volume Costs (Ave)</c:v>
                </c:pt>
                <c:pt idx="4">
                  <c:v>LLW Disposal Costs (Ave)</c:v>
                </c:pt>
                <c:pt idx="5">
                  <c:v>DV70 VLLW Disposal Costs (Ave)</c:v>
                </c:pt>
                <c:pt idx="6">
                  <c:v>Total Costs (Ave)</c:v>
                </c:pt>
              </c:strCache>
            </c:strRef>
          </c:cat>
          <c:val>
            <c:numRef>
              <c:f>'DNLEU Results'!$J$377:$P$377</c:f>
              <c:numCache>
                <c:formatCode>General</c:formatCode>
                <c:ptCount val="7"/>
                <c:pt idx="0">
                  <c:v>53</c:v>
                </c:pt>
                <c:pt idx="1">
                  <c:v>61.5</c:v>
                </c:pt>
                <c:pt idx="2">
                  <c:v>26</c:v>
                </c:pt>
                <c:pt idx="3">
                  <c:v>643</c:v>
                </c:pt>
                <c:pt idx="4">
                  <c:v>0</c:v>
                </c:pt>
                <c:pt idx="5">
                  <c:v>10.5</c:v>
                </c:pt>
                <c:pt idx="6">
                  <c:v>794</c:v>
                </c:pt>
              </c:numCache>
            </c:numRef>
          </c:val>
        </c:ser>
        <c:ser>
          <c:idx val="2"/>
          <c:order val="2"/>
          <c:tx>
            <c:strRef>
              <c:f>'DNLEU Results'!$I$378</c:f>
              <c:strCache>
                <c:ptCount val="1"/>
                <c:pt idx="0">
                  <c:v>DDS3 (Grouted 4m Box)</c:v>
                </c:pt>
              </c:strCache>
            </c:strRef>
          </c:tx>
          <c:spPr>
            <a:solidFill>
              <a:srgbClr val="89A54E"/>
            </a:solidFill>
            <a:ln w="25400">
              <a:noFill/>
            </a:ln>
          </c:spPr>
          <c:cat>
            <c:strRef>
              <c:f>'DNLEU Results'!$J$375:$P$375</c:f>
              <c:strCache>
                <c:ptCount val="7"/>
                <c:pt idx="0">
                  <c:v>LTIS Package Cost (Ave)</c:v>
                </c:pt>
                <c:pt idx="1">
                  <c:v>Disposal Package Costs (Ave)</c:v>
                </c:pt>
                <c:pt idx="2">
                  <c:v>Transport Cost (Ave)</c:v>
                </c:pt>
                <c:pt idx="3">
                  <c:v>GDF Disposal Volume Costs (Ave)</c:v>
                </c:pt>
                <c:pt idx="4">
                  <c:v>LLW Disposal Costs (Ave)</c:v>
                </c:pt>
                <c:pt idx="5">
                  <c:v>DV70 VLLW Disposal Costs (Ave)</c:v>
                </c:pt>
                <c:pt idx="6">
                  <c:v>Total Costs (Ave)</c:v>
                </c:pt>
              </c:strCache>
            </c:strRef>
          </c:cat>
          <c:val>
            <c:numRef>
              <c:f>'DNLEU Results'!$J$378:$P$378</c:f>
              <c:numCache>
                <c:formatCode>General</c:formatCode>
                <c:ptCount val="7"/>
                <c:pt idx="0">
                  <c:v>53</c:v>
                </c:pt>
                <c:pt idx="1">
                  <c:v>187.5</c:v>
                </c:pt>
                <c:pt idx="2">
                  <c:v>42</c:v>
                </c:pt>
                <c:pt idx="3">
                  <c:v>1026</c:v>
                </c:pt>
                <c:pt idx="4">
                  <c:v>0</c:v>
                </c:pt>
                <c:pt idx="5">
                  <c:v>10.5</c:v>
                </c:pt>
                <c:pt idx="6">
                  <c:v>1319</c:v>
                </c:pt>
              </c:numCache>
            </c:numRef>
          </c:val>
        </c:ser>
        <c:ser>
          <c:idx val="3"/>
          <c:order val="3"/>
          <c:tx>
            <c:strRef>
              <c:f>'DNLEU Results'!$I$379</c:f>
              <c:strCache>
                <c:ptCount val="1"/>
                <c:pt idx="0">
                  <c:v>DDS4 (200l Drums in 4m Box)</c:v>
                </c:pt>
              </c:strCache>
            </c:strRef>
          </c:tx>
          <c:spPr>
            <a:solidFill>
              <a:srgbClr val="71588F"/>
            </a:solidFill>
            <a:ln w="25400">
              <a:noFill/>
            </a:ln>
          </c:spPr>
          <c:cat>
            <c:strRef>
              <c:f>'DNLEU Results'!$J$375:$P$375</c:f>
              <c:strCache>
                <c:ptCount val="7"/>
                <c:pt idx="0">
                  <c:v>LTIS Package Cost (Ave)</c:v>
                </c:pt>
                <c:pt idx="1">
                  <c:v>Disposal Package Costs (Ave)</c:v>
                </c:pt>
                <c:pt idx="2">
                  <c:v>Transport Cost (Ave)</c:v>
                </c:pt>
                <c:pt idx="3">
                  <c:v>GDF Disposal Volume Costs (Ave)</c:v>
                </c:pt>
                <c:pt idx="4">
                  <c:v>LLW Disposal Costs (Ave)</c:v>
                </c:pt>
                <c:pt idx="5">
                  <c:v>DV70 VLLW Disposal Costs (Ave)</c:v>
                </c:pt>
                <c:pt idx="6">
                  <c:v>Total Costs (Ave)</c:v>
                </c:pt>
              </c:strCache>
            </c:strRef>
          </c:cat>
          <c:val>
            <c:numRef>
              <c:f>'DNLEU Results'!$J$379:$P$379</c:f>
              <c:numCache>
                <c:formatCode>General</c:formatCode>
                <c:ptCount val="7"/>
                <c:pt idx="0">
                  <c:v>53</c:v>
                </c:pt>
                <c:pt idx="1">
                  <c:v>290</c:v>
                </c:pt>
                <c:pt idx="2">
                  <c:v>19</c:v>
                </c:pt>
                <c:pt idx="3">
                  <c:v>459.5</c:v>
                </c:pt>
                <c:pt idx="4">
                  <c:v>0</c:v>
                </c:pt>
                <c:pt idx="5">
                  <c:v>10.5</c:v>
                </c:pt>
                <c:pt idx="6">
                  <c:v>832</c:v>
                </c:pt>
              </c:numCache>
            </c:numRef>
          </c:val>
        </c:ser>
        <c:ser>
          <c:idx val="4"/>
          <c:order val="4"/>
          <c:tx>
            <c:strRef>
              <c:f>'DNLEU Results'!$I$380</c:f>
              <c:strCache>
                <c:ptCount val="1"/>
                <c:pt idx="0">
                  <c:v>DDS5 (3m3 Drums)</c:v>
                </c:pt>
              </c:strCache>
            </c:strRef>
          </c:tx>
          <c:spPr>
            <a:solidFill>
              <a:srgbClr val="4198AF"/>
            </a:solidFill>
            <a:ln w="25400">
              <a:noFill/>
            </a:ln>
          </c:spPr>
          <c:cat>
            <c:strRef>
              <c:f>'DNLEU Results'!$J$375:$P$375</c:f>
              <c:strCache>
                <c:ptCount val="7"/>
                <c:pt idx="0">
                  <c:v>LTIS Package Cost (Ave)</c:v>
                </c:pt>
                <c:pt idx="1">
                  <c:v>Disposal Package Costs (Ave)</c:v>
                </c:pt>
                <c:pt idx="2">
                  <c:v>Transport Cost (Ave)</c:v>
                </c:pt>
                <c:pt idx="3">
                  <c:v>GDF Disposal Volume Costs (Ave)</c:v>
                </c:pt>
                <c:pt idx="4">
                  <c:v>LLW Disposal Costs (Ave)</c:v>
                </c:pt>
                <c:pt idx="5">
                  <c:v>DV70 VLLW Disposal Costs (Ave)</c:v>
                </c:pt>
                <c:pt idx="6">
                  <c:v>Total Costs (Ave)</c:v>
                </c:pt>
              </c:strCache>
            </c:strRef>
          </c:cat>
          <c:val>
            <c:numRef>
              <c:f>'DNLEU Results'!$J$380:$P$380</c:f>
              <c:numCache>
                <c:formatCode>General</c:formatCode>
                <c:ptCount val="7"/>
                <c:pt idx="0">
                  <c:v>53</c:v>
                </c:pt>
                <c:pt idx="1">
                  <c:v>484.5</c:v>
                </c:pt>
                <c:pt idx="2">
                  <c:v>19</c:v>
                </c:pt>
                <c:pt idx="3">
                  <c:v>691</c:v>
                </c:pt>
                <c:pt idx="4">
                  <c:v>0</c:v>
                </c:pt>
                <c:pt idx="5">
                  <c:v>10.5</c:v>
                </c:pt>
                <c:pt idx="6">
                  <c:v>1258</c:v>
                </c:pt>
              </c:numCache>
            </c:numRef>
          </c:val>
        </c:ser>
        <c:ser>
          <c:idx val="5"/>
          <c:order val="5"/>
          <c:tx>
            <c:strRef>
              <c:f>'DNLEU Results'!$I$381</c:f>
              <c:strCache>
                <c:ptCount val="1"/>
                <c:pt idx="0">
                  <c:v>DDS6 (Overpacked DNLEU as HAW)</c:v>
                </c:pt>
              </c:strCache>
            </c:strRef>
          </c:tx>
          <c:spPr>
            <a:pattFill prst="dkUpDiag">
              <a:fgClr>
                <a:srgbClr val="FF0000"/>
              </a:fgClr>
              <a:bgClr>
                <a:srgbClr val="FFFFFF"/>
              </a:bgClr>
            </a:pattFill>
            <a:ln w="25400">
              <a:noFill/>
            </a:ln>
          </c:spPr>
          <c:cat>
            <c:strRef>
              <c:f>'DNLEU Results'!$J$375:$P$375</c:f>
              <c:strCache>
                <c:ptCount val="7"/>
                <c:pt idx="0">
                  <c:v>LTIS Package Cost (Ave)</c:v>
                </c:pt>
                <c:pt idx="1">
                  <c:v>Disposal Package Costs (Ave)</c:v>
                </c:pt>
                <c:pt idx="2">
                  <c:v>Transport Cost (Ave)</c:v>
                </c:pt>
                <c:pt idx="3">
                  <c:v>GDF Disposal Volume Costs (Ave)</c:v>
                </c:pt>
                <c:pt idx="4">
                  <c:v>LLW Disposal Costs (Ave)</c:v>
                </c:pt>
                <c:pt idx="5">
                  <c:v>DV70 VLLW Disposal Costs (Ave)</c:v>
                </c:pt>
                <c:pt idx="6">
                  <c:v>Total Costs (Ave)</c:v>
                </c:pt>
              </c:strCache>
            </c:strRef>
          </c:cat>
          <c:val>
            <c:numRef>
              <c:f>'DNLEU Results'!$J$381:$P$381</c:f>
              <c:numCache>
                <c:formatCode>General</c:formatCode>
                <c:ptCount val="7"/>
                <c:pt idx="0">
                  <c:v>44</c:v>
                </c:pt>
                <c:pt idx="1">
                  <c:v>216.5</c:v>
                </c:pt>
                <c:pt idx="2">
                  <c:v>51</c:v>
                </c:pt>
                <c:pt idx="3">
                  <c:v>1248.5</c:v>
                </c:pt>
                <c:pt idx="4">
                  <c:v>0</c:v>
                </c:pt>
                <c:pt idx="5">
                  <c:v>0</c:v>
                </c:pt>
                <c:pt idx="6">
                  <c:v>1560</c:v>
                </c:pt>
              </c:numCache>
            </c:numRef>
          </c:val>
        </c:ser>
        <c:ser>
          <c:idx val="6"/>
          <c:order val="6"/>
          <c:tx>
            <c:strRef>
              <c:f>'DNLEU Results'!$I$382</c:f>
              <c:strCache>
                <c:ptCount val="1"/>
                <c:pt idx="0">
                  <c:v>SDS1 (Overpacked DNLEU as LLW (SS))</c:v>
                </c:pt>
              </c:strCache>
            </c:strRef>
          </c:tx>
          <c:spPr>
            <a:pattFill prst="dkDnDiag">
              <a:fgClr>
                <a:srgbClr val="FF0000"/>
              </a:fgClr>
              <a:bgClr>
                <a:srgbClr val="FFFFFF"/>
              </a:bgClr>
            </a:pattFill>
            <a:ln w="25400">
              <a:noFill/>
            </a:ln>
          </c:spPr>
          <c:cat>
            <c:strRef>
              <c:f>'DNLEU Results'!$J$375:$P$375</c:f>
              <c:strCache>
                <c:ptCount val="7"/>
                <c:pt idx="0">
                  <c:v>LTIS Package Cost (Ave)</c:v>
                </c:pt>
                <c:pt idx="1">
                  <c:v>Disposal Package Costs (Ave)</c:v>
                </c:pt>
                <c:pt idx="2">
                  <c:v>Transport Cost (Ave)</c:v>
                </c:pt>
                <c:pt idx="3">
                  <c:v>GDF Disposal Volume Costs (Ave)</c:v>
                </c:pt>
                <c:pt idx="4">
                  <c:v>LLW Disposal Costs (Ave)</c:v>
                </c:pt>
                <c:pt idx="5">
                  <c:v>DV70 VLLW Disposal Costs (Ave)</c:v>
                </c:pt>
                <c:pt idx="6">
                  <c:v>Total Costs (Ave)</c:v>
                </c:pt>
              </c:strCache>
            </c:strRef>
          </c:cat>
          <c:val>
            <c:numRef>
              <c:f>'DNLEU Results'!$J$382:$P$382</c:f>
              <c:numCache>
                <c:formatCode>General</c:formatCode>
                <c:ptCount val="7"/>
                <c:pt idx="0">
                  <c:v>44</c:v>
                </c:pt>
                <c:pt idx="1">
                  <c:v>216.5</c:v>
                </c:pt>
                <c:pt idx="2">
                  <c:v>51</c:v>
                </c:pt>
                <c:pt idx="3">
                  <c:v>0</c:v>
                </c:pt>
                <c:pt idx="4">
                  <c:v>611</c:v>
                </c:pt>
                <c:pt idx="5">
                  <c:v>0</c:v>
                </c:pt>
                <c:pt idx="6">
                  <c:v>922.5</c:v>
                </c:pt>
              </c:numCache>
            </c:numRef>
          </c:val>
        </c:ser>
        <c:ser>
          <c:idx val="7"/>
          <c:order val="7"/>
          <c:tx>
            <c:strRef>
              <c:f>'DNLEU Results'!$I$383</c:f>
              <c:strCache>
                <c:ptCount val="1"/>
                <c:pt idx="0">
                  <c:v>SDS2 (Overpacked DNLEU as LLW (CS))</c:v>
                </c:pt>
              </c:strCache>
            </c:strRef>
          </c:tx>
          <c:spPr>
            <a:pattFill prst="ltDnDiag">
              <a:fgClr>
                <a:srgbClr val="FF7C80"/>
              </a:fgClr>
              <a:bgClr>
                <a:srgbClr val="FFFFFF"/>
              </a:bgClr>
            </a:pattFill>
            <a:ln w="25400">
              <a:noFill/>
            </a:ln>
          </c:spPr>
          <c:cat>
            <c:strRef>
              <c:f>'DNLEU Results'!$J$375:$P$375</c:f>
              <c:strCache>
                <c:ptCount val="7"/>
                <c:pt idx="0">
                  <c:v>LTIS Package Cost (Ave)</c:v>
                </c:pt>
                <c:pt idx="1">
                  <c:v>Disposal Package Costs (Ave)</c:v>
                </c:pt>
                <c:pt idx="2">
                  <c:v>Transport Cost (Ave)</c:v>
                </c:pt>
                <c:pt idx="3">
                  <c:v>GDF Disposal Volume Costs (Ave)</c:v>
                </c:pt>
                <c:pt idx="4">
                  <c:v>LLW Disposal Costs (Ave)</c:v>
                </c:pt>
                <c:pt idx="5">
                  <c:v>DV70 VLLW Disposal Costs (Ave)</c:v>
                </c:pt>
                <c:pt idx="6">
                  <c:v>Total Costs (Ave)</c:v>
                </c:pt>
              </c:strCache>
            </c:strRef>
          </c:cat>
          <c:val>
            <c:numRef>
              <c:f>'DNLEU Results'!$J$383:$P$383</c:f>
              <c:numCache>
                <c:formatCode>General</c:formatCode>
                <c:ptCount val="7"/>
                <c:pt idx="0">
                  <c:v>44</c:v>
                </c:pt>
                <c:pt idx="1">
                  <c:v>102</c:v>
                </c:pt>
                <c:pt idx="2">
                  <c:v>51</c:v>
                </c:pt>
                <c:pt idx="3">
                  <c:v>0</c:v>
                </c:pt>
                <c:pt idx="4">
                  <c:v>611</c:v>
                </c:pt>
                <c:pt idx="5">
                  <c:v>0</c:v>
                </c:pt>
                <c:pt idx="6">
                  <c:v>808</c:v>
                </c:pt>
              </c:numCache>
            </c:numRef>
          </c:val>
        </c:ser>
        <c:axId val="38285696"/>
        <c:axId val="38287616"/>
      </c:barChart>
      <c:catAx>
        <c:axId val="382856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Times New Roman"/>
                    <a:cs typeface="Times New Roman"/>
                  </a:defRPr>
                </a:pPr>
                <a:r>
                  <a:rPr lang="en-US" sz="900">
                    <a:latin typeface="Arial"/>
                  </a:rPr>
                  <a:t>Cost Element</a:t>
                </a:r>
              </a:p>
            </c:rich>
          </c:tx>
          <c:layout>
            <c:manualLayout>
              <c:xMode val="edge"/>
              <c:yMode val="edge"/>
              <c:x val="0.29200283355584011"/>
              <c:y val="0.9251887278524364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270000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Times New Roman"/>
                <a:cs typeface="Times New Roman"/>
              </a:defRPr>
            </a:pPr>
            <a:endParaRPr lang="en-US"/>
          </a:p>
        </c:txPr>
        <c:crossAx val="38287616"/>
        <c:crosses val="autoZero"/>
        <c:auto val="1"/>
        <c:lblAlgn val="ctr"/>
        <c:lblOffset val="100"/>
      </c:catAx>
      <c:valAx>
        <c:axId val="38287616"/>
        <c:scaling>
          <c:orientation val="minMax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Times New Roman"/>
                    <a:cs typeface="Times New Roman"/>
                  </a:defRPr>
                </a:pPr>
                <a:r>
                  <a:rPr lang="en-US" sz="900">
                    <a:latin typeface="Arial"/>
                  </a:rPr>
                  <a:t>Cost £million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/>
          <a:lstStyle/>
          <a:p>
            <a:pPr>
              <a:defRPr lang="en-GB"/>
            </a:pPr>
            <a:endParaRPr lang="en-US"/>
          </a:p>
        </c:txPr>
        <c:crossAx val="382856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6338643436021558"/>
          <c:y val="1.3856828558959745E-2"/>
          <c:w val="0.22279830324087738"/>
          <c:h val="0.96304958484770231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GB" sz="920" b="0" i="0" u="none" strike="noStrike" baseline="0">
              <a:solidFill>
                <a:srgbClr val="000000"/>
              </a:solidFill>
              <a:latin typeface="Arial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969696"/>
      </a:solidFill>
      <a:prstDash val="solid"/>
    </a:ln>
  </c:sp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0.116326559591876"/>
          <c:y val="0.13653161131300998"/>
          <c:w val="0.85918388751192998"/>
          <c:h val="0.70479831785905411"/>
        </c:manualLayout>
      </c:layout>
      <c:lineChart>
        <c:grouping val="standard"/>
        <c:ser>
          <c:idx val="0"/>
          <c:order val="0"/>
          <c:tx>
            <c:strRef>
              <c:f>'General metal graphs'!$C$300</c:f>
              <c:strCache>
                <c:ptCount val="1"/>
                <c:pt idx="0">
                  <c:v>LLW only (2013 UKRWI)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'General metal graphs'!$B$301:$B$311</c:f>
              <c:numCache>
                <c:formatCode>General</c:formatCode>
                <c:ptCount val="11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  <c:pt idx="6">
                  <c:v>2080</c:v>
                </c:pt>
                <c:pt idx="7">
                  <c:v>2090</c:v>
                </c:pt>
                <c:pt idx="8">
                  <c:v>2100</c:v>
                </c:pt>
                <c:pt idx="9">
                  <c:v>2110</c:v>
                </c:pt>
                <c:pt idx="10">
                  <c:v>2120</c:v>
                </c:pt>
              </c:numCache>
            </c:numRef>
          </c:cat>
          <c:val>
            <c:numRef>
              <c:f>'General metal graphs'!$C$301:$C$311</c:f>
              <c:numCache>
                <c:formatCode>General</c:formatCode>
                <c:ptCount val="11"/>
                <c:pt idx="0">
                  <c:v>188800</c:v>
                </c:pt>
                <c:pt idx="1">
                  <c:v>182000</c:v>
                </c:pt>
                <c:pt idx="2">
                  <c:v>62500</c:v>
                </c:pt>
                <c:pt idx="3">
                  <c:v>105000</c:v>
                </c:pt>
                <c:pt idx="4">
                  <c:v>105000</c:v>
                </c:pt>
                <c:pt idx="5">
                  <c:v>107000</c:v>
                </c:pt>
                <c:pt idx="6">
                  <c:v>107000</c:v>
                </c:pt>
                <c:pt idx="7">
                  <c:v>107000</c:v>
                </c:pt>
                <c:pt idx="8">
                  <c:v>107000</c:v>
                </c:pt>
                <c:pt idx="9">
                  <c:v>115500</c:v>
                </c:pt>
                <c:pt idx="10">
                  <c:v>115500</c:v>
                </c:pt>
              </c:numCache>
            </c:numRef>
          </c:val>
        </c:ser>
        <c:marker val="1"/>
        <c:axId val="38628736"/>
        <c:axId val="38647680"/>
      </c:lineChart>
      <c:catAx>
        <c:axId val="386287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Decades</a:t>
                </a:r>
              </a:p>
            </c:rich>
          </c:tx>
          <c:layout>
            <c:manualLayout>
              <c:xMode val="edge"/>
              <c:yMode val="edge"/>
              <c:x val="0.51612999594562869"/>
              <c:y val="0.898592675915510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647680"/>
        <c:crosses val="autoZero"/>
        <c:auto val="1"/>
        <c:lblAlgn val="ctr"/>
        <c:lblOffset val="100"/>
        <c:tickLblSkip val="1"/>
        <c:tickMarkSkip val="1"/>
      </c:catAx>
      <c:valAx>
        <c:axId val="386476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Waste Volume (m3)</a:t>
                </a:r>
              </a:p>
            </c:rich>
          </c:tx>
          <c:layout>
            <c:manualLayout>
              <c:xMode val="edge"/>
              <c:yMode val="edge"/>
              <c:x val="2.8674007212513068E-2"/>
              <c:y val="0.323944194475690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62873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040404040404041"/>
          <c:y val="2.0329215305902506E-2"/>
          <c:w val="0.20808080808080809"/>
          <c:h val="6.098764591770752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245893950494998"/>
          <c:y val="0.17535555168581499"/>
          <c:w val="0.87295016458217611"/>
          <c:h val="0.60663542204822518"/>
        </c:manualLayout>
      </c:layout>
      <c:barChart>
        <c:barDir val="col"/>
        <c:grouping val="clustered"/>
        <c:ser>
          <c:idx val="0"/>
          <c:order val="0"/>
          <c:tx>
            <c:strRef>
              <c:f>'Diesel Costs and Dashboard Data'!$B$60</c:f>
              <c:strCache>
                <c:ptCount val="1"/>
                <c:pt idx="0">
                  <c:v>Sellafield (te)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'Diesel Costs and Dashboard Data'!$A$61:$A$68</c:f>
              <c:strCache>
                <c:ptCount val="8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 </c:v>
                </c:pt>
                <c:pt idx="6">
                  <c:v>February</c:v>
                </c:pt>
                <c:pt idx="7">
                  <c:v>March</c:v>
                </c:pt>
              </c:strCache>
            </c:strRef>
          </c:cat>
          <c:val>
            <c:numRef>
              <c:f>'Diesel Costs and Dashboard Data'!$B$61:$B$68</c:f>
              <c:numCache>
                <c:formatCode>General</c:formatCode>
                <c:ptCount val="8"/>
                <c:pt idx="0">
                  <c:v>692</c:v>
                </c:pt>
                <c:pt idx="1">
                  <c:v>913</c:v>
                </c:pt>
                <c:pt idx="2">
                  <c:v>1100</c:v>
                </c:pt>
                <c:pt idx="3">
                  <c:v>1720.2</c:v>
                </c:pt>
                <c:pt idx="4">
                  <c:v>1279</c:v>
                </c:pt>
                <c:pt idx="5">
                  <c:v>1381</c:v>
                </c:pt>
                <c:pt idx="6">
                  <c:v>1579.6</c:v>
                </c:pt>
                <c:pt idx="7">
                  <c:v>1847.6</c:v>
                </c:pt>
              </c:numCache>
            </c:numRef>
          </c:val>
        </c:ser>
        <c:ser>
          <c:idx val="1"/>
          <c:order val="1"/>
          <c:tx>
            <c:strRef>
              <c:f>'Diesel Costs and Dashboard Data'!$C$60</c:f>
              <c:strCache>
                <c:ptCount val="1"/>
                <c:pt idx="0">
                  <c:v>Magnox (te)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'Diesel Costs and Dashboard Data'!$A$61:$A$68</c:f>
              <c:strCache>
                <c:ptCount val="8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 </c:v>
                </c:pt>
                <c:pt idx="6">
                  <c:v>February</c:v>
                </c:pt>
                <c:pt idx="7">
                  <c:v>March</c:v>
                </c:pt>
              </c:strCache>
            </c:strRef>
          </c:cat>
          <c:val>
            <c:numRef>
              <c:f>'Diesel Costs and Dashboard Data'!$C$61:$C$68</c:f>
              <c:numCache>
                <c:formatCode>General</c:formatCode>
                <c:ptCount val="8"/>
                <c:pt idx="0">
                  <c:v>123.5</c:v>
                </c:pt>
                <c:pt idx="1">
                  <c:v>135</c:v>
                </c:pt>
                <c:pt idx="2">
                  <c:v>185</c:v>
                </c:pt>
                <c:pt idx="3">
                  <c:v>212.5</c:v>
                </c:pt>
                <c:pt idx="4">
                  <c:v>213.2</c:v>
                </c:pt>
                <c:pt idx="5">
                  <c:v>223</c:v>
                </c:pt>
                <c:pt idx="6">
                  <c:v>301.8</c:v>
                </c:pt>
                <c:pt idx="7">
                  <c:v>1916</c:v>
                </c:pt>
              </c:numCache>
            </c:numRef>
          </c:val>
        </c:ser>
        <c:ser>
          <c:idx val="2"/>
          <c:order val="2"/>
          <c:tx>
            <c:strRef>
              <c:f>'Diesel Costs and Dashboard Data'!$D$60</c:f>
              <c:strCache>
                <c:ptCount val="1"/>
                <c:pt idx="0">
                  <c:v>RSRL (te)</c:v>
                </c:pt>
              </c:strCache>
            </c:strRef>
          </c:tx>
          <c:spPr>
            <a:pattFill prst="pct10">
              <a:fgClr>
                <a:srgbClr val="CC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'Diesel Costs and Dashboard Data'!$A$61:$A$68</c:f>
              <c:strCache>
                <c:ptCount val="8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 </c:v>
                </c:pt>
                <c:pt idx="6">
                  <c:v>February</c:v>
                </c:pt>
                <c:pt idx="7">
                  <c:v>March</c:v>
                </c:pt>
              </c:strCache>
            </c:strRef>
          </c:cat>
          <c:val>
            <c:numRef>
              <c:f>'Diesel Costs and Dashboard Data'!$D$61:$D$68</c:f>
              <c:numCache>
                <c:formatCode>General</c:formatCode>
                <c:ptCount val="8"/>
                <c:pt idx="0">
                  <c:v>36</c:v>
                </c:pt>
                <c:pt idx="1">
                  <c:v>67</c:v>
                </c:pt>
                <c:pt idx="2">
                  <c:v>82</c:v>
                </c:pt>
                <c:pt idx="3">
                  <c:v>83.1</c:v>
                </c:pt>
                <c:pt idx="4">
                  <c:v>90.2</c:v>
                </c:pt>
                <c:pt idx="5">
                  <c:v>90</c:v>
                </c:pt>
                <c:pt idx="6">
                  <c:v>90.2</c:v>
                </c:pt>
                <c:pt idx="7">
                  <c:v>108</c:v>
                </c:pt>
              </c:numCache>
            </c:numRef>
          </c:val>
        </c:ser>
        <c:axId val="33863552"/>
        <c:axId val="33878784"/>
      </c:barChart>
      <c:lineChart>
        <c:grouping val="standard"/>
        <c:ser>
          <c:idx val="3"/>
          <c:order val="3"/>
          <c:tx>
            <c:strRef>
              <c:f>'Diesel Costs and Dashboard Data'!$E$60</c:f>
              <c:strCache>
                <c:ptCount val="1"/>
                <c:pt idx="0">
                  <c:v>Framework (te)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'Diesel Costs and Dashboard Data'!$A$61:$A$68</c:f>
              <c:strCache>
                <c:ptCount val="8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 </c:v>
                </c:pt>
                <c:pt idx="6">
                  <c:v>February</c:v>
                </c:pt>
                <c:pt idx="7">
                  <c:v>March</c:v>
                </c:pt>
              </c:strCache>
            </c:strRef>
          </c:cat>
          <c:val>
            <c:numRef>
              <c:f>'Diesel Costs and Dashboard Data'!$E$61:$E$68</c:f>
              <c:numCache>
                <c:formatCode>General</c:formatCode>
                <c:ptCount val="8"/>
                <c:pt idx="0">
                  <c:v>128</c:v>
                </c:pt>
                <c:pt idx="1">
                  <c:v>146</c:v>
                </c:pt>
                <c:pt idx="2">
                  <c:v>167.4</c:v>
                </c:pt>
                <c:pt idx="3">
                  <c:v>238</c:v>
                </c:pt>
                <c:pt idx="4">
                  <c:v>274</c:v>
                </c:pt>
                <c:pt idx="5">
                  <c:v>322</c:v>
                </c:pt>
                <c:pt idx="6">
                  <c:v>477</c:v>
                </c:pt>
                <c:pt idx="7">
                  <c:v>2192</c:v>
                </c:pt>
              </c:numCache>
            </c:numRef>
          </c:val>
        </c:ser>
        <c:marker val="1"/>
        <c:axId val="33863552"/>
        <c:axId val="33878784"/>
      </c:lineChart>
      <c:catAx>
        <c:axId val="338635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 Months in Financial Year 2011/12</a:t>
                </a:r>
              </a:p>
            </c:rich>
          </c:tx>
          <c:layout>
            <c:manualLayout>
              <c:xMode val="edge"/>
              <c:yMode val="edge"/>
              <c:x val="0.47933875354188321"/>
              <c:y val="0.8767776576947490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878784"/>
        <c:crosses val="autoZero"/>
        <c:auto val="1"/>
        <c:lblAlgn val="ctr"/>
        <c:lblOffset val="100"/>
        <c:tickLblSkip val="1"/>
        <c:tickMarkSkip val="1"/>
      </c:catAx>
      <c:valAx>
        <c:axId val="338787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Cummulative Metals Diverted (te)</a:t>
                </a:r>
              </a:p>
            </c:rich>
          </c:tx>
          <c:layout>
            <c:manualLayout>
              <c:xMode val="edge"/>
              <c:yMode val="edge"/>
              <c:x val="2.6859553948161544E-2"/>
              <c:y val="0.1706163690323023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86355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061371841155237"/>
          <c:y val="5.016722408026756E-2"/>
          <c:w val="0.51985559566786999"/>
          <c:h val="7.023411371237457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7529823319114"/>
          <c:y val="0.18552066941039902"/>
          <c:w val="0.86055735040436399"/>
          <c:h val="0.47963880384152002"/>
        </c:manualLayout>
      </c:layout>
      <c:barChart>
        <c:barDir val="col"/>
        <c:grouping val="clustered"/>
        <c:ser>
          <c:idx val="0"/>
          <c:order val="0"/>
          <c:tx>
            <c:strRef>
              <c:f>'Diesel Costs and Dashboard Data'!$B$70</c:f>
              <c:strCache>
                <c:ptCount val="1"/>
                <c:pt idx="0">
                  <c:v>Sellafield (te)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'Diesel Costs and Dashboard Data'!$A$71:$A$82</c:f>
              <c:strCache>
                <c:ptCount val="12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  <c:pt idx="8">
                  <c:v>December</c:v>
                </c:pt>
                <c:pt idx="9">
                  <c:v>January </c:v>
                </c:pt>
                <c:pt idx="10">
                  <c:v>February</c:v>
                </c:pt>
                <c:pt idx="11">
                  <c:v>March</c:v>
                </c:pt>
              </c:strCache>
            </c:strRef>
          </c:cat>
          <c:val>
            <c:numRef>
              <c:f>'Diesel Costs and Dashboard Data'!$B$71:$B$82</c:f>
              <c:numCache>
                <c:formatCode>General</c:formatCode>
                <c:ptCount val="12"/>
                <c:pt idx="0">
                  <c:v>141</c:v>
                </c:pt>
                <c:pt idx="1">
                  <c:v>257</c:v>
                </c:pt>
                <c:pt idx="2">
                  <c:v>391</c:v>
                </c:pt>
                <c:pt idx="3">
                  <c:v>512</c:v>
                </c:pt>
                <c:pt idx="4">
                  <c:v>659</c:v>
                </c:pt>
                <c:pt idx="5">
                  <c:v>768</c:v>
                </c:pt>
                <c:pt idx="6">
                  <c:v>892</c:v>
                </c:pt>
                <c:pt idx="7">
                  <c:v>1024</c:v>
                </c:pt>
                <c:pt idx="8">
                  <c:v>1145</c:v>
                </c:pt>
                <c:pt idx="9">
                  <c:v>1258</c:v>
                </c:pt>
                <c:pt idx="10">
                  <c:v>1422</c:v>
                </c:pt>
                <c:pt idx="11">
                  <c:v>1528</c:v>
                </c:pt>
              </c:numCache>
            </c:numRef>
          </c:val>
        </c:ser>
        <c:ser>
          <c:idx val="1"/>
          <c:order val="1"/>
          <c:tx>
            <c:strRef>
              <c:f>'Diesel Costs and Dashboard Data'!$C$70</c:f>
              <c:strCache>
                <c:ptCount val="1"/>
                <c:pt idx="0">
                  <c:v>Magnox (te)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'Diesel Costs and Dashboard Data'!$A$71:$A$82</c:f>
              <c:strCache>
                <c:ptCount val="12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  <c:pt idx="8">
                  <c:v>December</c:v>
                </c:pt>
                <c:pt idx="9">
                  <c:v>January </c:v>
                </c:pt>
                <c:pt idx="10">
                  <c:v>February</c:v>
                </c:pt>
                <c:pt idx="11">
                  <c:v>March</c:v>
                </c:pt>
              </c:strCache>
            </c:strRef>
          </c:cat>
          <c:val>
            <c:numRef>
              <c:f>'Diesel Costs and Dashboard Data'!$C$71:$C$82</c:f>
              <c:numCache>
                <c:formatCode>General</c:formatCode>
                <c:ptCount val="12"/>
                <c:pt idx="0">
                  <c:v>12</c:v>
                </c:pt>
                <c:pt idx="1">
                  <c:v>48</c:v>
                </c:pt>
                <c:pt idx="2">
                  <c:v>78</c:v>
                </c:pt>
                <c:pt idx="3">
                  <c:v>128</c:v>
                </c:pt>
                <c:pt idx="4">
                  <c:v>153</c:v>
                </c:pt>
                <c:pt idx="5">
                  <c:v>197</c:v>
                </c:pt>
                <c:pt idx="6">
                  <c:v>241</c:v>
                </c:pt>
                <c:pt idx="7">
                  <c:v>722</c:v>
                </c:pt>
                <c:pt idx="8">
                  <c:v>740</c:v>
                </c:pt>
                <c:pt idx="9">
                  <c:v>841</c:v>
                </c:pt>
                <c:pt idx="10">
                  <c:v>898</c:v>
                </c:pt>
                <c:pt idx="11">
                  <c:v>1085</c:v>
                </c:pt>
              </c:numCache>
            </c:numRef>
          </c:val>
        </c:ser>
        <c:ser>
          <c:idx val="2"/>
          <c:order val="2"/>
          <c:tx>
            <c:strRef>
              <c:f>'Diesel Costs and Dashboard Data'!$D$70</c:f>
              <c:strCache>
                <c:ptCount val="1"/>
                <c:pt idx="0">
                  <c:v>RSRL (te)</c:v>
                </c:pt>
              </c:strCache>
            </c:strRef>
          </c:tx>
          <c:spPr>
            <a:pattFill prst="pct10">
              <a:fgClr>
                <a:srgbClr val="CC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'Diesel Costs and Dashboard Data'!$A$71:$A$82</c:f>
              <c:strCache>
                <c:ptCount val="12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  <c:pt idx="8">
                  <c:v>December</c:v>
                </c:pt>
                <c:pt idx="9">
                  <c:v>January </c:v>
                </c:pt>
                <c:pt idx="10">
                  <c:v>February</c:v>
                </c:pt>
                <c:pt idx="11">
                  <c:v>March</c:v>
                </c:pt>
              </c:strCache>
            </c:strRef>
          </c:cat>
          <c:val>
            <c:numRef>
              <c:f>'Diesel Costs and Dashboard Data'!$D$71:$D$82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77</c:v>
                </c:pt>
                <c:pt idx="3">
                  <c:v>108</c:v>
                </c:pt>
                <c:pt idx="4">
                  <c:v>393</c:v>
                </c:pt>
                <c:pt idx="5">
                  <c:v>397</c:v>
                </c:pt>
                <c:pt idx="6">
                  <c:v>416</c:v>
                </c:pt>
                <c:pt idx="7">
                  <c:v>478</c:v>
                </c:pt>
                <c:pt idx="8">
                  <c:v>478</c:v>
                </c:pt>
                <c:pt idx="9">
                  <c:v>491</c:v>
                </c:pt>
                <c:pt idx="10">
                  <c:v>584</c:v>
                </c:pt>
                <c:pt idx="11">
                  <c:v>671</c:v>
                </c:pt>
              </c:numCache>
            </c:numRef>
          </c:val>
        </c:ser>
        <c:axId val="54106752"/>
        <c:axId val="54113408"/>
      </c:barChart>
      <c:lineChart>
        <c:grouping val="standard"/>
        <c:ser>
          <c:idx val="3"/>
          <c:order val="3"/>
          <c:tx>
            <c:strRef>
              <c:f>'Diesel Costs and Dashboard Data'!$E$70</c:f>
              <c:strCache>
                <c:ptCount val="1"/>
                <c:pt idx="0">
                  <c:v>Framework (te)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'Diesel Costs and Dashboard Data'!$A$71:$A$82</c:f>
              <c:strCache>
                <c:ptCount val="12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  <c:pt idx="8">
                  <c:v>December</c:v>
                </c:pt>
                <c:pt idx="9">
                  <c:v>January </c:v>
                </c:pt>
                <c:pt idx="10">
                  <c:v>February</c:v>
                </c:pt>
                <c:pt idx="11">
                  <c:v>March</c:v>
                </c:pt>
              </c:strCache>
            </c:strRef>
          </c:cat>
          <c:val>
            <c:numRef>
              <c:f>'Diesel Costs and Dashboard Data'!$E$71:$E$82</c:f>
              <c:numCache>
                <c:formatCode>General</c:formatCode>
                <c:ptCount val="12"/>
                <c:pt idx="0">
                  <c:v>44</c:v>
                </c:pt>
                <c:pt idx="1">
                  <c:v>141</c:v>
                </c:pt>
                <c:pt idx="2">
                  <c:v>202</c:v>
                </c:pt>
                <c:pt idx="3">
                  <c:v>277</c:v>
                </c:pt>
                <c:pt idx="4">
                  <c:v>333</c:v>
                </c:pt>
                <c:pt idx="5">
                  <c:v>419</c:v>
                </c:pt>
                <c:pt idx="6">
                  <c:v>516</c:v>
                </c:pt>
                <c:pt idx="7">
                  <c:v>606</c:v>
                </c:pt>
                <c:pt idx="8">
                  <c:v>678</c:v>
                </c:pt>
                <c:pt idx="9">
                  <c:v>792</c:v>
                </c:pt>
                <c:pt idx="10">
                  <c:v>890</c:v>
                </c:pt>
                <c:pt idx="11">
                  <c:v>1040</c:v>
                </c:pt>
              </c:numCache>
            </c:numRef>
          </c:val>
        </c:ser>
        <c:marker val="1"/>
        <c:axId val="54106752"/>
        <c:axId val="54113408"/>
      </c:lineChart>
      <c:catAx>
        <c:axId val="541067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Months in Financial Year 2012/13</a:t>
                </a:r>
              </a:p>
            </c:rich>
          </c:tx>
          <c:layout>
            <c:manualLayout>
              <c:xMode val="edge"/>
              <c:yMode val="edge"/>
              <c:x val="0.48975375473899097"/>
              <c:y val="0.8609612962466378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113408"/>
        <c:crosses val="autoZero"/>
        <c:auto val="1"/>
        <c:lblAlgn val="ctr"/>
        <c:lblOffset val="100"/>
        <c:tickLblSkip val="1"/>
        <c:tickMarkSkip val="1"/>
      </c:catAx>
      <c:valAx>
        <c:axId val="541134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Cummulative Metals Diverted (te)</a:t>
                </a:r>
              </a:p>
            </c:rich>
          </c:tx>
          <c:layout>
            <c:manualLayout>
              <c:xMode val="edge"/>
              <c:yMode val="edge"/>
              <c:x val="2.6639144065325169E-2"/>
              <c:y val="0.1069520489505375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10675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485031423987441"/>
          <c:y val="5.1227454714010794E-2"/>
          <c:w val="0.51789911339615025"/>
          <c:h val="6.723603431213916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123961835391801"/>
          <c:y val="0.15837130315521902"/>
          <c:w val="0.69214841119515313"/>
          <c:h val="0.63348521262087631"/>
        </c:manualLayout>
      </c:layout>
      <c:barChart>
        <c:barDir val="col"/>
        <c:grouping val="clustered"/>
        <c:ser>
          <c:idx val="0"/>
          <c:order val="0"/>
          <c:tx>
            <c:strRef>
              <c:f>'Diesel Costs and Dashboard Data'!$B$84</c:f>
              <c:strCache>
                <c:ptCount val="1"/>
                <c:pt idx="0">
                  <c:v>Sellafield (te)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'Diesel Costs and Dashboard Data'!$A$85:$A$91</c:f>
              <c:strCache>
                <c:ptCount val="7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</c:strCache>
            </c:strRef>
          </c:cat>
          <c:val>
            <c:numRef>
              <c:f>'Diesel Costs and Dashboard Data'!$B$85:$B$91</c:f>
              <c:numCache>
                <c:formatCode>General</c:formatCode>
                <c:ptCount val="7"/>
                <c:pt idx="0">
                  <c:v>150</c:v>
                </c:pt>
                <c:pt idx="1">
                  <c:v>656</c:v>
                </c:pt>
                <c:pt idx="2">
                  <c:v>572</c:v>
                </c:pt>
                <c:pt idx="3">
                  <c:v>704</c:v>
                </c:pt>
                <c:pt idx="4">
                  <c:v>825</c:v>
                </c:pt>
                <c:pt idx="5">
                  <c:v>976</c:v>
                </c:pt>
                <c:pt idx="6">
                  <c:v>1127</c:v>
                </c:pt>
              </c:numCache>
            </c:numRef>
          </c:val>
        </c:ser>
        <c:ser>
          <c:idx val="1"/>
          <c:order val="1"/>
          <c:tx>
            <c:strRef>
              <c:f>'Diesel Costs and Dashboard Data'!$C$84</c:f>
              <c:strCache>
                <c:ptCount val="1"/>
                <c:pt idx="0">
                  <c:v>Magnox (te)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'Diesel Costs and Dashboard Data'!$A$85:$A$91</c:f>
              <c:strCache>
                <c:ptCount val="7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</c:strCache>
            </c:strRef>
          </c:cat>
          <c:val>
            <c:numRef>
              <c:f>'Diesel Costs and Dashboard Data'!$C$85:$C$91</c:f>
              <c:numCache>
                <c:formatCode>General</c:formatCode>
                <c:ptCount val="7"/>
                <c:pt idx="0">
                  <c:v>11</c:v>
                </c:pt>
                <c:pt idx="1">
                  <c:v>50</c:v>
                </c:pt>
                <c:pt idx="2">
                  <c:v>171</c:v>
                </c:pt>
                <c:pt idx="3">
                  <c:v>220</c:v>
                </c:pt>
                <c:pt idx="4">
                  <c:v>237</c:v>
                </c:pt>
                <c:pt idx="5">
                  <c:v>277</c:v>
                </c:pt>
                <c:pt idx="6">
                  <c:v>317</c:v>
                </c:pt>
              </c:numCache>
            </c:numRef>
          </c:val>
        </c:ser>
        <c:ser>
          <c:idx val="2"/>
          <c:order val="2"/>
          <c:tx>
            <c:strRef>
              <c:f>'Diesel Costs and Dashboard Data'!$D$84</c:f>
              <c:strCache>
                <c:ptCount val="1"/>
                <c:pt idx="0">
                  <c:v>RSRL (te)</c:v>
                </c:pt>
              </c:strCache>
            </c:strRef>
          </c:tx>
          <c:spPr>
            <a:pattFill prst="pct10">
              <a:fgClr>
                <a:srgbClr val="EF383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'Diesel Costs and Dashboard Data'!$A$85:$A$91</c:f>
              <c:strCache>
                <c:ptCount val="7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</c:strCache>
            </c:strRef>
          </c:cat>
          <c:val>
            <c:numRef>
              <c:f>'Diesel Costs and Dashboard Data'!$D$85:$D$91</c:f>
              <c:numCache>
                <c:formatCode>General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12</c:v>
                </c:pt>
                <c:pt idx="3">
                  <c:v>19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</c:ser>
        <c:axId val="34114560"/>
        <c:axId val="34129408"/>
      </c:barChart>
      <c:lineChart>
        <c:grouping val="standard"/>
        <c:ser>
          <c:idx val="3"/>
          <c:order val="3"/>
          <c:tx>
            <c:strRef>
              <c:f>'Diesel Costs and Dashboard Data'!$E$84</c:f>
              <c:strCache>
                <c:ptCount val="1"/>
                <c:pt idx="0">
                  <c:v>Framework (te)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'Diesel Costs and Dashboard Data'!$A$85:$A$91</c:f>
              <c:strCache>
                <c:ptCount val="7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</c:strCache>
            </c:strRef>
          </c:cat>
          <c:val>
            <c:numRef>
              <c:f>'Diesel Costs and Dashboard Data'!$E$85:$E$91</c:f>
              <c:numCache>
                <c:formatCode>General</c:formatCode>
                <c:ptCount val="7"/>
                <c:pt idx="0">
                  <c:v>130</c:v>
                </c:pt>
                <c:pt idx="1">
                  <c:v>239</c:v>
                </c:pt>
                <c:pt idx="2">
                  <c:v>286</c:v>
                </c:pt>
                <c:pt idx="3">
                  <c:v>399</c:v>
                </c:pt>
                <c:pt idx="4">
                  <c:v>481</c:v>
                </c:pt>
                <c:pt idx="5">
                  <c:v>572</c:v>
                </c:pt>
                <c:pt idx="6">
                  <c:v>663</c:v>
                </c:pt>
              </c:numCache>
            </c:numRef>
          </c:val>
        </c:ser>
        <c:marker val="1"/>
        <c:axId val="34114560"/>
        <c:axId val="34129408"/>
      </c:lineChart>
      <c:catAx>
        <c:axId val="341145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Months in Financial Year 2013/14</a:t>
                </a:r>
              </a:p>
            </c:rich>
          </c:tx>
          <c:layout>
            <c:manualLayout>
              <c:xMode val="edge"/>
              <c:yMode val="edge"/>
              <c:x val="0.38749978833290999"/>
              <c:y val="0.8818184642807499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29408"/>
        <c:crosses val="autoZero"/>
        <c:auto val="1"/>
        <c:lblAlgn val="ctr"/>
        <c:lblOffset val="100"/>
        <c:tickLblSkip val="1"/>
        <c:tickMarkSkip val="1"/>
      </c:catAx>
      <c:valAx>
        <c:axId val="341294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Cummulative Metals Diverted (te)</a:t>
                </a:r>
              </a:p>
            </c:rich>
          </c:tx>
          <c:layout>
            <c:manualLayout>
              <c:xMode val="edge"/>
              <c:yMode val="edge"/>
              <c:x val="2.0312514699103472E-3"/>
              <c:y val="0.2120227962158935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1456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61955754971513"/>
          <c:y val="1.5923566878980892E-2"/>
          <c:w val="0.51189209243347655"/>
          <c:h val="6.687898089171974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3519564085586"/>
          <c:y val="0.16143480083949205"/>
          <c:w val="0.87370512088234198"/>
          <c:h val="0.62780200326469315"/>
        </c:manualLayout>
      </c:layout>
      <c:barChart>
        <c:barDir val="col"/>
        <c:grouping val="stacked"/>
        <c:ser>
          <c:idx val="0"/>
          <c:order val="0"/>
          <c:tx>
            <c:strRef>
              <c:f>'Diesel Costs and Dashboard Data'!$B$98</c:f>
              <c:strCache>
                <c:ptCount val="1"/>
                <c:pt idx="0">
                  <c:v>On site treatment (te)</c:v>
                </c:pt>
              </c:strCache>
            </c:strRef>
          </c:tx>
          <c:spPr>
            <a:pattFill prst="wdUpDiag">
              <a:fgClr>
                <a:srgbClr val="7CC861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'Diesel Costs and Dashboard Data'!$A$99:$A$104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'Diesel Costs and Dashboard Data'!$B$99:$B$104</c:f>
              <c:numCache>
                <c:formatCode>General</c:formatCode>
                <c:ptCount val="6"/>
                <c:pt idx="0">
                  <c:v>2128</c:v>
                </c:pt>
                <c:pt idx="1">
                  <c:v>1025</c:v>
                </c:pt>
                <c:pt idx="2">
                  <c:v>834</c:v>
                </c:pt>
                <c:pt idx="3">
                  <c:v>814</c:v>
                </c:pt>
                <c:pt idx="4">
                  <c:v>814</c:v>
                </c:pt>
                <c:pt idx="5">
                  <c:v>854</c:v>
                </c:pt>
              </c:numCache>
            </c:numRef>
          </c:val>
        </c:ser>
        <c:ser>
          <c:idx val="1"/>
          <c:order val="1"/>
          <c:tx>
            <c:strRef>
              <c:f>'Diesel Costs and Dashboard Data'!$C$98</c:f>
              <c:strCache>
                <c:ptCount val="1"/>
                <c:pt idx="0">
                  <c:v>Off site treatment (te)</c:v>
                </c:pt>
              </c:strCache>
            </c:strRef>
          </c:tx>
          <c:spPr>
            <a:pattFill prst="pct10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'Diesel Costs and Dashboard Data'!$A$99:$A$104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'Diesel Costs and Dashboard Data'!$C$99:$C$104</c:f>
              <c:numCache>
                <c:formatCode>General</c:formatCode>
                <c:ptCount val="6"/>
                <c:pt idx="0">
                  <c:v>2596</c:v>
                </c:pt>
                <c:pt idx="1">
                  <c:v>1612</c:v>
                </c:pt>
                <c:pt idx="2">
                  <c:v>1489</c:v>
                </c:pt>
                <c:pt idx="3">
                  <c:v>2580</c:v>
                </c:pt>
                <c:pt idx="4">
                  <c:v>1464</c:v>
                </c:pt>
                <c:pt idx="5">
                  <c:v>1590</c:v>
                </c:pt>
              </c:numCache>
            </c:numRef>
          </c:val>
        </c:ser>
        <c:overlap val="100"/>
        <c:axId val="34166656"/>
        <c:axId val="34181120"/>
      </c:barChart>
      <c:catAx>
        <c:axId val="34166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2182990615381708"/>
              <c:y val="0.891564385221078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81120"/>
        <c:crosses val="autoZero"/>
        <c:auto val="1"/>
        <c:lblAlgn val="ctr"/>
        <c:lblOffset val="100"/>
        <c:tickLblSkip val="1"/>
        <c:tickMarkSkip val="1"/>
      </c:catAx>
      <c:valAx>
        <c:axId val="341811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Cummulative Metals Diverted (te)</a:t>
                </a:r>
              </a:p>
            </c:rich>
          </c:tx>
          <c:layout>
            <c:manualLayout>
              <c:xMode val="edge"/>
              <c:yMode val="edge"/>
              <c:x val="2.702713419815329E-2"/>
              <c:y val="0.1847387845750050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6665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314847942754919"/>
          <c:y val="4.4350809457958613E-2"/>
          <c:w val="0.35778175313059035"/>
          <c:h val="7.602995907078619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Radioactive Waste by Materials, Mass (tonne) April 2007</a:t>
            </a:r>
          </a:p>
        </c:rich>
      </c:tx>
      <c:layout>
        <c:manualLayout>
          <c:xMode val="edge"/>
          <c:yMode val="edge"/>
          <c:x val="0.14121061422346132"/>
          <c:y val="2.116462186412745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2192535099329103"/>
          <c:y val="0.73184357541899414"/>
          <c:w val="7.219258405805852E-2"/>
          <c:h val="0.15083798882681604"/>
        </c:manualLayout>
      </c:layout>
      <c:pieChart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explosion val="7"/>
          </c:dPt>
          <c:dPt>
            <c:idx val="1"/>
            <c:explosion val="7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explosion val="7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explosion val="7"/>
            <c:spPr>
              <a:solidFill>
                <a:srgbClr val="3F77BE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explosion val="7"/>
            <c:spPr>
              <a:solidFill>
                <a:srgbClr val="7CC861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14406469151417"/>
                  <c:y val="9.0250488188173203E-2"/>
                </c:manualLayout>
              </c:layout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Val val="1"/>
            </c:dLbl>
            <c:dLbl>
              <c:idx val="1"/>
              <c:layout>
                <c:manualLayout>
                  <c:x val="-6.1005617203342022E-2"/>
                  <c:y val="-7.622451496342502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Val val="1"/>
            </c:dLbl>
            <c:dLbl>
              <c:idx val="2"/>
              <c:layout>
                <c:manualLayout>
                  <c:x val="7.2179486119756789E-2"/>
                  <c:y val="-8.5692026840314531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Val val="1"/>
            </c:dLbl>
            <c:dLbl>
              <c:idx val="3"/>
              <c:layout>
                <c:manualLayout>
                  <c:x val="4.7251133140615312E-2"/>
                  <c:y val="9.158512312884901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Val val="1"/>
            </c:dLbl>
            <c:dLbl>
              <c:idx val="4"/>
              <c:layout>
                <c:manualLayout>
                  <c:x val="9.0860651527623956E-3"/>
                  <c:y val="-8.4808377703052208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Helvetica Neue"/>
                    <a:ea typeface="Helvetica Neue"/>
                    <a:cs typeface="Helvetica Neue"/>
                  </a:defRPr>
                </a:pPr>
                <a:endParaRPr lang="en-US"/>
              </a:p>
            </c:txPr>
            <c:showVal val="1"/>
          </c:dLbls>
          <c:cat>
            <c:strRef>
              <c:f>'General metal graphs'!$A$104:$A$108</c:f>
              <c:strCache>
                <c:ptCount val="5"/>
                <c:pt idx="0">
                  <c:v>Metals</c:v>
                </c:pt>
                <c:pt idx="1">
                  <c:v>Organic Solid</c:v>
                </c:pt>
                <c:pt idx="2">
                  <c:v>InorganicSolid</c:v>
                </c:pt>
                <c:pt idx="3">
                  <c:v>Soil</c:v>
                </c:pt>
                <c:pt idx="4">
                  <c:v>Unspecified</c:v>
                </c:pt>
              </c:strCache>
            </c:strRef>
          </c:cat>
          <c:val>
            <c:numRef>
              <c:f>'General metal graphs'!$B$104:$B$108</c:f>
              <c:numCache>
                <c:formatCode>#,##0</c:formatCode>
                <c:ptCount val="5"/>
                <c:pt idx="0" formatCode="#,##0.00">
                  <c:v>1235969.5</c:v>
                </c:pt>
                <c:pt idx="1">
                  <c:v>227100</c:v>
                </c:pt>
                <c:pt idx="2">
                  <c:v>1941640</c:v>
                </c:pt>
                <c:pt idx="3">
                  <c:v>330086</c:v>
                </c:pt>
                <c:pt idx="4">
                  <c:v>134100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371637802059354"/>
          <c:y val="0.59767292021982188"/>
          <c:w val="0.14229270981458408"/>
          <c:h val="0.33376539700587454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545544517244404"/>
          <c:y val="0.22853822963642612"/>
          <c:w val="0.85950164739486112"/>
          <c:h val="0.52962827820505098"/>
        </c:manualLayout>
      </c:layout>
      <c:barChart>
        <c:barDir val="col"/>
        <c:grouping val="clustered"/>
        <c:ser>
          <c:idx val="0"/>
          <c:order val="0"/>
          <c:tx>
            <c:strRef>
              <c:f>'Diesel Costs and Dashboard Data'!$A$108</c:f>
              <c:strCache>
                <c:ptCount val="1"/>
                <c:pt idx="0">
                  <c:v>Sellafield Disposal (£m)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'Diesel Costs and Dashboard Data'!$B$107:$F$107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'Diesel Costs and Dashboard Data'!$B$108:$F$108</c:f>
              <c:numCache>
                <c:formatCode>0.000</c:formatCode>
                <c:ptCount val="5"/>
                <c:pt idx="0">
                  <c:v>11.327</c:v>
                </c:pt>
                <c:pt idx="1">
                  <c:v>11.082000000000001</c:v>
                </c:pt>
                <c:pt idx="2">
                  <c:v>11.377000000000001</c:v>
                </c:pt>
                <c:pt idx="3">
                  <c:v>11.680999999999999</c:v>
                </c:pt>
                <c:pt idx="4">
                  <c:v>11.996</c:v>
                </c:pt>
              </c:numCache>
            </c:numRef>
          </c:val>
        </c:ser>
        <c:ser>
          <c:idx val="1"/>
          <c:order val="1"/>
          <c:tx>
            <c:strRef>
              <c:f>'Diesel Costs and Dashboard Data'!$A$109</c:f>
              <c:strCache>
                <c:ptCount val="1"/>
                <c:pt idx="0">
                  <c:v>Sellafield Treated Metals (£m)</c:v>
                </c:pt>
              </c:strCache>
            </c:strRef>
          </c:tx>
          <c:spPr>
            <a:pattFill prst="wd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'Diesel Costs and Dashboard Data'!$B$107:$F$107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'Diesel Costs and Dashboard Data'!$B$109:$F$109</c:f>
              <c:numCache>
                <c:formatCode>0.000</c:formatCode>
                <c:ptCount val="5"/>
                <c:pt idx="0">
                  <c:v>6.8710000000000004</c:v>
                </c:pt>
                <c:pt idx="1">
                  <c:v>6.577</c:v>
                </c:pt>
                <c:pt idx="2">
                  <c:v>6.593</c:v>
                </c:pt>
                <c:pt idx="3">
                  <c:v>6.6109999999999998</c:v>
                </c:pt>
                <c:pt idx="4">
                  <c:v>6.6280000000000001</c:v>
                </c:pt>
              </c:numCache>
            </c:numRef>
          </c:val>
        </c:ser>
        <c:ser>
          <c:idx val="2"/>
          <c:order val="2"/>
          <c:tx>
            <c:strRef>
              <c:f>'Diesel Costs and Dashboard Data'!$A$110</c:f>
              <c:strCache>
                <c:ptCount val="1"/>
                <c:pt idx="0">
                  <c:v>RSRL Disposal (£m)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'Diesel Costs and Dashboard Data'!$B$107:$F$107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'Diesel Costs and Dashboard Data'!$B$110:$F$110</c:f>
              <c:numCache>
                <c:formatCode>0.000</c:formatCode>
                <c:ptCount val="5"/>
                <c:pt idx="0">
                  <c:v>1.0580000000000001</c:v>
                </c:pt>
                <c:pt idx="1">
                  <c:v>1.24</c:v>
                </c:pt>
                <c:pt idx="2">
                  <c:v>0.71599999999999997</c:v>
                </c:pt>
                <c:pt idx="3">
                  <c:v>0.73499999999999999</c:v>
                </c:pt>
                <c:pt idx="4">
                  <c:v>2.7690000000000001</c:v>
                </c:pt>
              </c:numCache>
            </c:numRef>
          </c:val>
        </c:ser>
        <c:ser>
          <c:idx val="3"/>
          <c:order val="3"/>
          <c:tx>
            <c:strRef>
              <c:f>'Diesel Costs and Dashboard Data'!$A$111</c:f>
              <c:strCache>
                <c:ptCount val="1"/>
                <c:pt idx="0">
                  <c:v>RSRL Treated Metals (£m)</c:v>
                </c:pt>
              </c:strCache>
            </c:strRef>
          </c:tx>
          <c:spPr>
            <a:pattFill prst="wdUpDiag">
              <a:fgClr>
                <a:srgbClr val="EF383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'Diesel Costs and Dashboard Data'!$B$107:$F$107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'Diesel Costs and Dashboard Data'!$B$111:$F$111</c:f>
              <c:numCache>
                <c:formatCode>0.000</c:formatCode>
                <c:ptCount val="5"/>
                <c:pt idx="0">
                  <c:v>0.628</c:v>
                </c:pt>
                <c:pt idx="1">
                  <c:v>0.73299999999999998</c:v>
                </c:pt>
                <c:pt idx="2">
                  <c:v>0.42599999999999999</c:v>
                </c:pt>
                <c:pt idx="3">
                  <c:v>0.42799999999999999</c:v>
                </c:pt>
                <c:pt idx="4">
                  <c:v>1.54</c:v>
                </c:pt>
              </c:numCache>
            </c:numRef>
          </c:val>
        </c:ser>
        <c:ser>
          <c:idx val="4"/>
          <c:order val="4"/>
          <c:tx>
            <c:strRef>
              <c:f>'Diesel Costs and Dashboard Data'!$A$112</c:f>
              <c:strCache>
                <c:ptCount val="1"/>
                <c:pt idx="0">
                  <c:v>Magnox Disposal (£m)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'Diesel Costs and Dashboard Data'!$B$107:$F$107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'Diesel Costs and Dashboard Data'!$B$112:$F$112</c:f>
              <c:numCache>
                <c:formatCode>0.000</c:formatCode>
                <c:ptCount val="5"/>
                <c:pt idx="0">
                  <c:v>5.89</c:v>
                </c:pt>
                <c:pt idx="1">
                  <c:v>5.1929999999999996</c:v>
                </c:pt>
                <c:pt idx="2">
                  <c:v>14.48</c:v>
                </c:pt>
                <c:pt idx="3">
                  <c:v>5.8810000000000002</c:v>
                </c:pt>
                <c:pt idx="4">
                  <c:v>4.8659999999999997</c:v>
                </c:pt>
              </c:numCache>
            </c:numRef>
          </c:val>
        </c:ser>
        <c:ser>
          <c:idx val="5"/>
          <c:order val="5"/>
          <c:tx>
            <c:strRef>
              <c:f>'Diesel Costs and Dashboard Data'!$A$113</c:f>
              <c:strCache>
                <c:ptCount val="1"/>
                <c:pt idx="0">
                  <c:v>Magnox Treated Metals (£m)</c:v>
                </c:pt>
              </c:strCache>
            </c:strRef>
          </c:tx>
          <c:spPr>
            <a:pattFill prst="wdUpDiag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'Diesel Costs and Dashboard Data'!$B$107:$F$107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'Diesel Costs and Dashboard Data'!$B$113:$F$113</c:f>
              <c:numCache>
                <c:formatCode>0.000</c:formatCode>
                <c:ptCount val="5"/>
                <c:pt idx="0">
                  <c:v>3.5609999999999999</c:v>
                </c:pt>
                <c:pt idx="1">
                  <c:v>3.0939999999999999</c:v>
                </c:pt>
                <c:pt idx="2">
                  <c:v>8.3629999999999995</c:v>
                </c:pt>
                <c:pt idx="3">
                  <c:v>3.2970000000000002</c:v>
                </c:pt>
                <c:pt idx="4">
                  <c:v>2.6619999999999999</c:v>
                </c:pt>
              </c:numCache>
            </c:numRef>
          </c:val>
        </c:ser>
        <c:ser>
          <c:idx val="6"/>
          <c:order val="6"/>
          <c:tx>
            <c:strRef>
              <c:f>'Diesel Costs and Dashboard Data'!$A$114</c:f>
              <c:strCache>
                <c:ptCount val="1"/>
                <c:pt idx="0">
                  <c:v>LLWR Ltd Disposal (£m)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'Diesel Costs and Dashboard Data'!$B$107:$F$107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'Diesel Costs and Dashboard Data'!$B$114:$F$114</c:f>
              <c:numCache>
                <c:formatCode>0.000</c:formatCode>
                <c:ptCount val="5"/>
                <c:pt idx="0">
                  <c:v>0.151</c:v>
                </c:pt>
                <c:pt idx="1">
                  <c:v>7.8E-2</c:v>
                </c:pt>
                <c:pt idx="2">
                  <c:v>0.159</c:v>
                </c:pt>
                <c:pt idx="3">
                  <c:v>8.2000000000000003E-2</c:v>
                </c:pt>
                <c:pt idx="4">
                  <c:v>0.252</c:v>
                </c:pt>
              </c:numCache>
            </c:numRef>
          </c:val>
        </c:ser>
        <c:ser>
          <c:idx val="7"/>
          <c:order val="7"/>
          <c:tx>
            <c:strRef>
              <c:f>'Diesel Costs and Dashboard Data'!$A$115</c:f>
              <c:strCache>
                <c:ptCount val="1"/>
                <c:pt idx="0">
                  <c:v>LLWR Ltd Treated Metals (£m)</c:v>
                </c:pt>
              </c:strCache>
            </c:strRef>
          </c:tx>
          <c:spPr>
            <a:pattFill prst="wdUpDiag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'Diesel Costs and Dashboard Data'!$B$107:$F$107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'Diesel Costs and Dashboard Data'!$B$115:$F$115</c:f>
              <c:numCache>
                <c:formatCode>0.000</c:formatCode>
                <c:ptCount val="5"/>
                <c:pt idx="0">
                  <c:v>0.11600000000000001</c:v>
                </c:pt>
                <c:pt idx="1">
                  <c:v>0.08</c:v>
                </c:pt>
                <c:pt idx="2">
                  <c:v>0.13600000000000001</c:v>
                </c:pt>
                <c:pt idx="3">
                  <c:v>0.109</c:v>
                </c:pt>
                <c:pt idx="4">
                  <c:v>0.18099999999999999</c:v>
                </c:pt>
              </c:numCache>
            </c:numRef>
          </c:val>
        </c:ser>
        <c:axId val="34313728"/>
        <c:axId val="34315648"/>
      </c:barChart>
      <c:catAx>
        <c:axId val="34313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3039854335551229"/>
              <c:y val="0.8737866187779159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315648"/>
        <c:crosses val="autoZero"/>
        <c:auto val="1"/>
        <c:lblAlgn val="ctr"/>
        <c:lblOffset val="100"/>
        <c:tickLblSkip val="1"/>
        <c:tickMarkSkip val="1"/>
      </c:catAx>
      <c:valAx>
        <c:axId val="343156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Costs (£m)</a:t>
                </a:r>
              </a:p>
            </c:rich>
          </c:tx>
          <c:layout>
            <c:manualLayout>
              <c:xMode val="edge"/>
              <c:yMode val="edge"/>
              <c:x val="2.7253779624410418E-2"/>
              <c:y val="0.3932034811438044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31372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771145445011378"/>
          <c:y val="0.16686918354405716"/>
          <c:w val="0.19975624640946665"/>
          <c:h val="0.6529663703897888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797872059978805"/>
          <c:y val="0.1875005501983355"/>
          <c:w val="0.86742905548496396"/>
          <c:h val="0.6165883477676033"/>
        </c:manualLayout>
      </c:layout>
      <c:barChart>
        <c:barDir val="col"/>
        <c:grouping val="clustered"/>
        <c:ser>
          <c:idx val="0"/>
          <c:order val="0"/>
          <c:tx>
            <c:strRef>
              <c:f>'Diesel Costs and Dashboard Data'!$A$118</c:f>
              <c:strCache>
                <c:ptCount val="1"/>
                <c:pt idx="0">
                  <c:v>Sellafield Savings (£m)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'Diesel Costs and Dashboard Data'!$B$117:$F$117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'Diesel Costs and Dashboard Data'!$B$118:$F$118</c:f>
              <c:numCache>
                <c:formatCode>0.000</c:formatCode>
                <c:ptCount val="5"/>
                <c:pt idx="0">
                  <c:v>4.4569999999999999</c:v>
                </c:pt>
                <c:pt idx="1">
                  <c:v>4.5060000000000002</c:v>
                </c:pt>
                <c:pt idx="2">
                  <c:v>4.7830000000000004</c:v>
                </c:pt>
                <c:pt idx="3">
                  <c:v>5.0709999999999997</c:v>
                </c:pt>
                <c:pt idx="4">
                  <c:v>5.3680000000000003</c:v>
                </c:pt>
              </c:numCache>
            </c:numRef>
          </c:val>
        </c:ser>
        <c:ser>
          <c:idx val="1"/>
          <c:order val="1"/>
          <c:tx>
            <c:strRef>
              <c:f>'Diesel Costs and Dashboard Data'!$A$119</c:f>
              <c:strCache>
                <c:ptCount val="1"/>
                <c:pt idx="0">
                  <c:v>RSRL Savings (£m)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'Diesel Costs and Dashboard Data'!$B$117:$F$117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'Diesel Costs and Dashboard Data'!$B$119:$F$119</c:f>
              <c:numCache>
                <c:formatCode>0.000</c:formatCode>
                <c:ptCount val="5"/>
                <c:pt idx="0">
                  <c:v>0.43</c:v>
                </c:pt>
                <c:pt idx="1">
                  <c:v>0.50700000000000001</c:v>
                </c:pt>
                <c:pt idx="2">
                  <c:v>0.28999999999999998</c:v>
                </c:pt>
                <c:pt idx="3">
                  <c:v>0.307</c:v>
                </c:pt>
                <c:pt idx="4">
                  <c:v>1.2290000000000001</c:v>
                </c:pt>
              </c:numCache>
            </c:numRef>
          </c:val>
        </c:ser>
        <c:ser>
          <c:idx val="2"/>
          <c:order val="2"/>
          <c:tx>
            <c:strRef>
              <c:f>'Diesel Costs and Dashboard Data'!$A$120</c:f>
              <c:strCache>
                <c:ptCount val="1"/>
                <c:pt idx="0">
                  <c:v>Magnox Savings (£m)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'Diesel Costs and Dashboard Data'!$B$117:$F$117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'Diesel Costs and Dashboard Data'!$B$120:$F$120</c:f>
              <c:numCache>
                <c:formatCode>General</c:formatCode>
                <c:ptCount val="5"/>
                <c:pt idx="0">
                  <c:v>2.33</c:v>
                </c:pt>
                <c:pt idx="1">
                  <c:v>2.0979999999999999</c:v>
                </c:pt>
                <c:pt idx="2">
                  <c:v>6.117</c:v>
                </c:pt>
                <c:pt idx="3">
                  <c:v>2.5840000000000001</c:v>
                </c:pt>
                <c:pt idx="4">
                  <c:v>2.2029999999999998</c:v>
                </c:pt>
              </c:numCache>
            </c:numRef>
          </c:val>
        </c:ser>
        <c:ser>
          <c:idx val="3"/>
          <c:order val="3"/>
          <c:tx>
            <c:strRef>
              <c:f>'Diesel Costs and Dashboard Data'!$A$121</c:f>
              <c:strCache>
                <c:ptCount val="1"/>
                <c:pt idx="0">
                  <c:v>LLWR Ltd Savings (£m)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'Diesel Costs and Dashboard Data'!$B$117:$F$117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'Diesel Costs and Dashboard Data'!$B$121:$F$121</c:f>
              <c:numCache>
                <c:formatCode>General</c:formatCode>
                <c:ptCount val="5"/>
                <c:pt idx="0">
                  <c:v>3.5000000000000003E-2</c:v>
                </c:pt>
                <c:pt idx="1">
                  <c:v>-2.0999999999999999E-3</c:v>
                </c:pt>
                <c:pt idx="2">
                  <c:v>2.3E-2</c:v>
                </c:pt>
                <c:pt idx="3">
                  <c:v>-2.7000000000000001E-3</c:v>
                </c:pt>
                <c:pt idx="4">
                  <c:v>7.0000000000000007E-2</c:v>
                </c:pt>
              </c:numCache>
            </c:numRef>
          </c:val>
        </c:ser>
        <c:axId val="34350592"/>
        <c:axId val="34352512"/>
      </c:barChart>
      <c:catAx>
        <c:axId val="34350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2794976577294928"/>
              <c:y val="0.8555567791788264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352512"/>
        <c:crosses val="autoZero"/>
        <c:auto val="1"/>
        <c:lblAlgn val="ctr"/>
        <c:lblOffset val="100"/>
        <c:tickLblSkip val="1"/>
        <c:tickMarkSkip val="1"/>
      </c:catAx>
      <c:valAx>
        <c:axId val="343525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Value (£m)</a:t>
                </a:r>
              </a:p>
            </c:rich>
          </c:tx>
          <c:layout>
            <c:manualLayout>
              <c:xMode val="edge"/>
              <c:yMode val="edge"/>
              <c:x val="2.6915369755995691E-2"/>
              <c:y val="0.3777783895894132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35059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749998681900388"/>
          <c:y val="5.7692476984103229E-2"/>
          <c:w val="0.40851949293586481"/>
          <c:h val="6.490403660711613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4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Breakdown of LLW Metal Treatment Costs</a:t>
            </a:r>
          </a:p>
        </c:rich>
      </c:tx>
      <c:layout>
        <c:manualLayout>
          <c:xMode val="edge"/>
          <c:yMode val="edge"/>
          <c:x val="0.32150275333230405"/>
          <c:y val="4.060929225952019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3681569491376329"/>
          <c:y val="0.55864900577793053"/>
          <c:w val="0.1409926164755288"/>
          <c:h val="0.26118654815591558"/>
        </c:manualLayout>
      </c:layout>
      <c:pieChart>
        <c:varyColors val="1"/>
        <c:ser>
          <c:idx val="0"/>
          <c:order val="0"/>
          <c:tx>
            <c:strRef>
              <c:f>'Diesel Costs and Dashboard Data'!$B$123</c:f>
              <c:strCache>
                <c:ptCount val="1"/>
                <c:pt idx="0">
                  <c:v>£m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FFB14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EF383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9D56A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AEB2B1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  <c:showLeaderLines val="1"/>
          </c:dLbls>
          <c:cat>
            <c:strRef>
              <c:f>'Diesel Costs and Dashboard Data'!$A$124:$A$128</c:f>
              <c:strCache>
                <c:ptCount val="5"/>
                <c:pt idx="0">
                  <c:v>Metal Treatment Norm</c:v>
                </c:pt>
                <c:pt idx="1">
                  <c:v>Containers</c:v>
                </c:pt>
                <c:pt idx="2">
                  <c:v>Empty Transport</c:v>
                </c:pt>
                <c:pt idx="3">
                  <c:v>Full Transport</c:v>
                </c:pt>
                <c:pt idx="4">
                  <c:v>Container Disposal</c:v>
                </c:pt>
              </c:strCache>
            </c:strRef>
          </c:cat>
          <c:val>
            <c:numRef>
              <c:f>'Diesel Costs and Dashboard Data'!$B$124:$B$128</c:f>
              <c:numCache>
                <c:formatCode>0.000</c:formatCode>
                <c:ptCount val="5"/>
                <c:pt idx="0">
                  <c:v>2.7265000000000001</c:v>
                </c:pt>
                <c:pt idx="1">
                  <c:v>0.31719999999999998</c:v>
                </c:pt>
                <c:pt idx="2">
                  <c:v>2.3400000000000001E-2</c:v>
                </c:pt>
                <c:pt idx="3">
                  <c:v>0.26485999999999998</c:v>
                </c:pt>
                <c:pt idx="4">
                  <c:v>0.22706000000000001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112523689046721"/>
          <c:y val="0.5731593695643703"/>
          <c:w val="0.1586166935349699"/>
          <c:h val="0.3192280033016745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Breakdown of LLW Metal Disposal Costs</a:t>
            </a:r>
          </a:p>
        </c:rich>
      </c:tx>
      <c:layout>
        <c:manualLayout>
          <c:xMode val="edge"/>
          <c:yMode val="edge"/>
          <c:x val="0.3326404590487641"/>
          <c:y val="4.145056262430864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6247372492350405"/>
          <c:y val="0.57789086519233201"/>
          <c:w val="8.9552332039924604E-2"/>
          <c:h val="0.21105579424415599"/>
        </c:manualLayout>
      </c:layout>
      <c:pieChart>
        <c:varyColors val="1"/>
        <c:ser>
          <c:idx val="0"/>
          <c:order val="0"/>
          <c:tx>
            <c:strRef>
              <c:f>'Diesel Costs and Dashboard Data'!$B$132</c:f>
              <c:strCache>
                <c:ptCount val="1"/>
                <c:pt idx="0">
                  <c:v>£m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AEB2B1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FFB14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EF383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'Diesel Costs and Dashboard Data'!$A$133:$A$136</c:f>
              <c:strCache>
                <c:ptCount val="4"/>
                <c:pt idx="0">
                  <c:v>Disposal Volume</c:v>
                </c:pt>
                <c:pt idx="1">
                  <c:v>Container</c:v>
                </c:pt>
                <c:pt idx="2">
                  <c:v>Activity Surcharge</c:v>
                </c:pt>
                <c:pt idx="3">
                  <c:v>Transport</c:v>
                </c:pt>
              </c:strCache>
            </c:strRef>
          </c:cat>
          <c:val>
            <c:numRef>
              <c:f>'Diesel Costs and Dashboard Data'!$B$133:$B$136</c:f>
              <c:numCache>
                <c:formatCode>#,##0.000</c:formatCode>
                <c:ptCount val="4"/>
                <c:pt idx="0">
                  <c:v>4.4276</c:v>
                </c:pt>
                <c:pt idx="1">
                  <c:v>0.624</c:v>
                </c:pt>
                <c:pt idx="2">
                  <c:v>0.78</c:v>
                </c:pt>
                <c:pt idx="3">
                  <c:v>9.2999999999999999E-2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1085685489337"/>
          <c:y val="0.57379150042285165"/>
          <c:w val="0.13871805014440766"/>
          <c:h val="0.2302249847375639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135857461024498"/>
          <c:y val="0.23214285714285701"/>
          <c:w val="0.86414253897550108"/>
          <c:h val="0.6383928571428571"/>
        </c:manualLayout>
      </c:layout>
      <c:lineChart>
        <c:grouping val="standard"/>
        <c:ser>
          <c:idx val="0"/>
          <c:order val="0"/>
          <c:tx>
            <c:strRef>
              <c:f>'Diesel Costs and Dashboard Data'!$A$140</c:f>
              <c:strCache>
                <c:ptCount val="1"/>
                <c:pt idx="0">
                  <c:v>Sellafield (£/te)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'Diesel Costs and Dashboard Data'!$B$139:$F$139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'Diesel Costs and Dashboard Data'!$B$140:$F$140</c:f>
              <c:numCache>
                <c:formatCode>0</c:formatCode>
                <c:ptCount val="5"/>
                <c:pt idx="0">
                  <c:v>4580</c:v>
                </c:pt>
                <c:pt idx="1">
                  <c:v>4616</c:v>
                </c:pt>
                <c:pt idx="2">
                  <c:v>4627</c:v>
                </c:pt>
                <c:pt idx="3">
                  <c:v>4639</c:v>
                </c:pt>
                <c:pt idx="4">
                  <c:v>4651</c:v>
                </c:pt>
              </c:numCache>
            </c:numRef>
          </c:val>
        </c:ser>
        <c:ser>
          <c:idx val="1"/>
          <c:order val="1"/>
          <c:tx>
            <c:strRef>
              <c:f>'Diesel Costs and Dashboard Data'!$A$141</c:f>
              <c:strCache>
                <c:ptCount val="1"/>
                <c:pt idx="0">
                  <c:v>RSRL (£/te)</c:v>
                </c:pt>
              </c:strCache>
            </c:strRef>
          </c:tx>
          <c:spPr>
            <a:ln w="12700">
              <a:solidFill>
                <a:srgbClr val="EF383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EF383C"/>
              </a:solidFill>
              <a:ln>
                <a:solidFill>
                  <a:srgbClr val="EF383C"/>
                </a:solidFill>
                <a:prstDash val="solid"/>
              </a:ln>
            </c:spPr>
          </c:marker>
          <c:cat>
            <c:numRef>
              <c:f>'Diesel Costs and Dashboard Data'!$B$139:$F$139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'Diesel Costs and Dashboard Data'!$B$141:$F$141</c:f>
              <c:numCache>
                <c:formatCode>0</c:formatCode>
                <c:ptCount val="5"/>
                <c:pt idx="0">
                  <c:v>4776</c:v>
                </c:pt>
                <c:pt idx="1">
                  <c:v>4666</c:v>
                </c:pt>
                <c:pt idx="2">
                  <c:v>5195</c:v>
                </c:pt>
                <c:pt idx="3">
                  <c:v>5221</c:v>
                </c:pt>
                <c:pt idx="4">
                  <c:v>4708</c:v>
                </c:pt>
              </c:numCache>
            </c:numRef>
          </c:val>
        </c:ser>
        <c:ser>
          <c:idx val="2"/>
          <c:order val="2"/>
          <c:tx>
            <c:strRef>
              <c:f>'Diesel Costs and Dashboard Data'!$A$142</c:f>
              <c:strCache>
                <c:ptCount val="1"/>
                <c:pt idx="0">
                  <c:v>Magnox (£/te)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'Diesel Costs and Dashboard Data'!$B$139:$F$139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'Diesel Costs and Dashboard Data'!$B$142:$F$142</c:f>
              <c:numCache>
                <c:formatCode>0</c:formatCode>
                <c:ptCount val="5"/>
                <c:pt idx="0">
                  <c:v>4571</c:v>
                </c:pt>
                <c:pt idx="1">
                  <c:v>4646</c:v>
                </c:pt>
                <c:pt idx="2">
                  <c:v>4617</c:v>
                </c:pt>
                <c:pt idx="3">
                  <c:v>4644</c:v>
                </c:pt>
                <c:pt idx="4">
                  <c:v>4622</c:v>
                </c:pt>
              </c:numCache>
            </c:numRef>
          </c:val>
        </c:ser>
        <c:marker val="1"/>
        <c:axId val="34571008"/>
        <c:axId val="34573312"/>
      </c:lineChart>
      <c:catAx>
        <c:axId val="34571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2248373622557887"/>
              <c:y val="0.886462953598690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573312"/>
        <c:crosses val="autoZero"/>
        <c:auto val="1"/>
        <c:lblAlgn val="ctr"/>
        <c:lblOffset val="100"/>
        <c:tickLblSkip val="1"/>
        <c:tickMarkSkip val="1"/>
      </c:catAx>
      <c:valAx>
        <c:axId val="345733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Treatment Costs (£)</a:t>
                </a:r>
              </a:p>
            </c:rich>
          </c:tx>
          <c:layout>
            <c:manualLayout>
              <c:xMode val="edge"/>
              <c:yMode val="edge"/>
              <c:x val="2.7837249915744971E-2"/>
              <c:y val="0.3056768362670263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57100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385364015294266"/>
          <c:y val="2.521014868509933E-2"/>
          <c:w val="0.4091803477381491"/>
          <c:h val="6.617664029838574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635460125255426"/>
          <c:y val="0.15851347748687797"/>
          <c:w val="0.85908480591469227"/>
          <c:h val="0.64286021425233841"/>
        </c:manualLayout>
      </c:layout>
      <c:barChart>
        <c:barDir val="col"/>
        <c:grouping val="clustered"/>
        <c:ser>
          <c:idx val="0"/>
          <c:order val="0"/>
          <c:tx>
            <c:strRef>
              <c:f>'Diesel Costs and Dashboard Data'!$A$146</c:f>
              <c:strCache>
                <c:ptCount val="1"/>
                <c:pt idx="0">
                  <c:v>Sellafield (£/HHISO)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'Diesel Costs and Dashboard Data'!$B$145:$F$145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'Diesel Costs and Dashboard Data'!$B$146:$F$146</c:f>
              <c:numCache>
                <c:formatCode>0</c:formatCode>
                <c:ptCount val="5"/>
                <c:pt idx="0">
                  <c:v>75516</c:v>
                </c:pt>
                <c:pt idx="1">
                  <c:v>77502</c:v>
                </c:pt>
                <c:pt idx="2">
                  <c:v>79559</c:v>
                </c:pt>
                <c:pt idx="3">
                  <c:v>81686</c:v>
                </c:pt>
                <c:pt idx="4">
                  <c:v>83890</c:v>
                </c:pt>
              </c:numCache>
            </c:numRef>
          </c:val>
        </c:ser>
        <c:ser>
          <c:idx val="1"/>
          <c:order val="1"/>
          <c:tx>
            <c:strRef>
              <c:f>'Diesel Costs and Dashboard Data'!$A$147</c:f>
              <c:strCache>
                <c:ptCount val="1"/>
                <c:pt idx="0">
                  <c:v>RSRL (£/HHISO)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'Diesel Costs and Dashboard Data'!$B$145:$F$145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'Diesel Costs and Dashboard Data'!$B$147:$F$147</c:f>
              <c:numCache>
                <c:formatCode>General</c:formatCode>
                <c:ptCount val="5"/>
                <c:pt idx="0">
                  <c:v>75536</c:v>
                </c:pt>
                <c:pt idx="1">
                  <c:v>77501</c:v>
                </c:pt>
                <c:pt idx="2">
                  <c:v>79667</c:v>
                </c:pt>
                <c:pt idx="3">
                  <c:v>81736</c:v>
                </c:pt>
                <c:pt idx="4">
                  <c:v>83902</c:v>
                </c:pt>
              </c:numCache>
            </c:numRef>
          </c:val>
        </c:ser>
        <c:ser>
          <c:idx val="2"/>
          <c:order val="2"/>
          <c:tx>
            <c:strRef>
              <c:f>'Diesel Costs and Dashboard Data'!$A$148</c:f>
              <c:strCache>
                <c:ptCount val="1"/>
                <c:pt idx="0">
                  <c:v>Magnox (£/HHISO)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'Diesel Costs and Dashboard Data'!$B$145:$F$145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'Diesel Costs and Dashboard Data'!$B$148:$F$148</c:f>
              <c:numCache>
                <c:formatCode>General</c:formatCode>
                <c:ptCount val="5"/>
                <c:pt idx="0">
                  <c:v>75518</c:v>
                </c:pt>
                <c:pt idx="1">
                  <c:v>77503</c:v>
                </c:pt>
                <c:pt idx="2">
                  <c:v>79559</c:v>
                </c:pt>
                <c:pt idx="3">
                  <c:v>81685</c:v>
                </c:pt>
                <c:pt idx="4">
                  <c:v>83893</c:v>
                </c:pt>
              </c:numCache>
            </c:numRef>
          </c:val>
        </c:ser>
        <c:ser>
          <c:idx val="3"/>
          <c:order val="3"/>
          <c:tx>
            <c:strRef>
              <c:f>'Diesel Costs and Dashboard Data'!$A$149</c:f>
              <c:strCache>
                <c:ptCount val="1"/>
                <c:pt idx="0">
                  <c:v>LLWR (£/HHISO)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'Diesel Costs and Dashboard Data'!$B$145:$F$145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'Diesel Costs and Dashboard Data'!$B$149:$F$149</c:f>
              <c:numCache>
                <c:formatCode>General</c:formatCode>
                <c:ptCount val="5"/>
                <c:pt idx="0">
                  <c:v>75665</c:v>
                </c:pt>
                <c:pt idx="1">
                  <c:v>77951</c:v>
                </c:pt>
                <c:pt idx="2">
                  <c:v>79708</c:v>
                </c:pt>
                <c:pt idx="3">
                  <c:v>82126</c:v>
                </c:pt>
                <c:pt idx="4">
                  <c:v>83939</c:v>
                </c:pt>
              </c:numCache>
            </c:numRef>
          </c:val>
        </c:ser>
        <c:axId val="34616832"/>
        <c:axId val="34618752"/>
      </c:barChart>
      <c:catAx>
        <c:axId val="346168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2598773106578056"/>
              <c:y val="0.885461399478039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18752"/>
        <c:crosses val="autoZero"/>
        <c:auto val="1"/>
        <c:lblAlgn val="ctr"/>
        <c:lblOffset val="100"/>
        <c:tickLblSkip val="1"/>
        <c:tickMarkSkip val="1"/>
      </c:catAx>
      <c:valAx>
        <c:axId val="346187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Disposal Cost (£)</a:t>
                </a:r>
              </a:p>
            </c:rich>
          </c:tx>
          <c:layout>
            <c:manualLayout>
              <c:xMode val="edge"/>
              <c:yMode val="edge"/>
              <c:x val="2.7027060213964484E-2"/>
              <c:y val="0.32599049764671773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1683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86434765482226"/>
          <c:y val="2.9354347682755182E-2"/>
          <c:w val="0.55850208601226037"/>
          <c:h val="6.164413013378587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Comparison of Steels for WAGR Boilers Direct Disposal</a:t>
            </a:r>
          </a:p>
        </c:rich>
      </c:tx>
      <c:layout>
        <c:manualLayout>
          <c:xMode val="edge"/>
          <c:yMode val="edge"/>
          <c:x val="0.26677842156522885"/>
          <c:y val="3.47489462839946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720265814696502"/>
          <c:y val="0.23255769940479001"/>
          <c:w val="0.87604672204472811"/>
          <c:h val="0.56976636354173593"/>
        </c:manualLayout>
      </c:layout>
      <c:barChart>
        <c:barDir val="col"/>
        <c:grouping val="clustered"/>
        <c:ser>
          <c:idx val="0"/>
          <c:order val="0"/>
          <c:tx>
            <c:strRef>
              <c:f>'WAGR Steels Results'!$B$2</c:f>
              <c:strCache>
                <c:ptCount val="1"/>
                <c:pt idx="0">
                  <c:v>100% Low Alloyed Steel (Pt)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Results'!$A$3:$A$7</c:f>
              <c:strCache>
                <c:ptCount val="5"/>
                <c:pt idx="0">
                  <c:v>Overall Life Cycle </c:v>
                </c:pt>
                <c:pt idx="1">
                  <c:v>Boiler Steel</c:v>
                </c:pt>
                <c:pt idx="2">
                  <c:v>Boiler Transport</c:v>
                </c:pt>
                <c:pt idx="3">
                  <c:v>Backfill - Bentonite</c:v>
                </c:pt>
                <c:pt idx="4">
                  <c:v>Disposal</c:v>
                </c:pt>
              </c:strCache>
            </c:strRef>
          </c:cat>
          <c:val>
            <c:numRef>
              <c:f>'WAGR Steels Results'!$B$3:$B$7</c:f>
              <c:numCache>
                <c:formatCode>0.00E+00</c:formatCode>
                <c:ptCount val="5"/>
                <c:pt idx="0">
                  <c:v>302000</c:v>
                </c:pt>
                <c:pt idx="1">
                  <c:v>192000</c:v>
                </c:pt>
                <c:pt idx="2" formatCode="General">
                  <c:v>524</c:v>
                </c:pt>
                <c:pt idx="3">
                  <c:v>8260</c:v>
                </c:pt>
                <c:pt idx="4">
                  <c:v>101000</c:v>
                </c:pt>
              </c:numCache>
            </c:numRef>
          </c:val>
        </c:ser>
        <c:ser>
          <c:idx val="1"/>
          <c:order val="1"/>
          <c:tx>
            <c:strRef>
              <c:f>'WAGR Steels Results'!$C$2</c:f>
              <c:strCache>
                <c:ptCount val="1"/>
                <c:pt idx="0">
                  <c:v>100% Unalloyed Steel (Pt)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Results'!$A$3:$A$7</c:f>
              <c:strCache>
                <c:ptCount val="5"/>
                <c:pt idx="0">
                  <c:v>Overall Life Cycle </c:v>
                </c:pt>
                <c:pt idx="1">
                  <c:v>Boiler Steel</c:v>
                </c:pt>
                <c:pt idx="2">
                  <c:v>Boiler Transport</c:v>
                </c:pt>
                <c:pt idx="3">
                  <c:v>Backfill - Bentonite</c:v>
                </c:pt>
                <c:pt idx="4">
                  <c:v>Disposal</c:v>
                </c:pt>
              </c:strCache>
            </c:strRef>
          </c:cat>
          <c:val>
            <c:numRef>
              <c:f>'WAGR Steels Results'!$C$3:$C$7</c:f>
              <c:numCache>
                <c:formatCode>0.00E+00</c:formatCode>
                <c:ptCount val="5"/>
                <c:pt idx="0">
                  <c:v>233000</c:v>
                </c:pt>
                <c:pt idx="1">
                  <c:v>124000</c:v>
                </c:pt>
                <c:pt idx="2" formatCode="General">
                  <c:v>524</c:v>
                </c:pt>
                <c:pt idx="3">
                  <c:v>8260</c:v>
                </c:pt>
                <c:pt idx="4">
                  <c:v>101000</c:v>
                </c:pt>
              </c:numCache>
            </c:numRef>
          </c:val>
        </c:ser>
        <c:axId val="48600192"/>
        <c:axId val="48602112"/>
      </c:barChart>
      <c:catAx>
        <c:axId val="48600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Life Cycle Elements</a:t>
                </a:r>
              </a:p>
            </c:rich>
          </c:tx>
          <c:layout>
            <c:manualLayout>
              <c:xMode val="edge"/>
              <c:yMode val="edge"/>
              <c:x val="0.47986563000379673"/>
              <c:y val="0.8957521352176254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602112"/>
        <c:crosses val="autoZero"/>
        <c:auto val="1"/>
        <c:lblAlgn val="ctr"/>
        <c:lblOffset val="100"/>
        <c:tickLblSkip val="1"/>
        <c:tickMarkSkip val="1"/>
      </c:catAx>
      <c:valAx>
        <c:axId val="486021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Eco-Indicator99 Score (Pt)</a:t>
                </a:r>
              </a:p>
            </c:rich>
          </c:tx>
          <c:layout>
            <c:manualLayout>
              <c:xMode val="edge"/>
              <c:yMode val="edge"/>
              <c:x val="2.1812014064279701E-2"/>
              <c:y val="0.32046303658296782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60019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188679245283018"/>
          <c:y val="7.8175895765472306E-2"/>
          <c:w val="0.37893081761006292"/>
          <c:h val="5.211726384364821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Comparison of Steel for WAGR Boilers Packaged Disposal</a:t>
            </a:r>
          </a:p>
        </c:rich>
      </c:tx>
      <c:layout>
        <c:manualLayout>
          <c:xMode val="edge"/>
          <c:yMode val="edge"/>
          <c:x val="0.31208038241029928"/>
          <c:y val="4.371585809838286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422367312432903"/>
          <c:y val="0.12888902874243602"/>
          <c:w val="0.726708487777324"/>
          <c:h val="0.36888928915938513"/>
        </c:manualLayout>
      </c:layout>
      <c:barChart>
        <c:barDir val="col"/>
        <c:grouping val="clustered"/>
        <c:ser>
          <c:idx val="0"/>
          <c:order val="0"/>
          <c:tx>
            <c:strRef>
              <c:f>'WAGR Steels Results'!$B$20</c:f>
              <c:strCache>
                <c:ptCount val="1"/>
                <c:pt idx="0">
                  <c:v>100% Low Alloyed Steel (Pt)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Results'!$A$21:$A$31</c:f>
              <c:strCache>
                <c:ptCount val="11"/>
                <c:pt idx="0">
                  <c:v>Overall Life Cycle</c:v>
                </c:pt>
                <c:pt idx="1">
                  <c:v>HHISO Steel</c:v>
                </c:pt>
                <c:pt idx="2">
                  <c:v>HHISO Production</c:v>
                </c:pt>
                <c:pt idx="3">
                  <c:v>HHISO Empty Transport</c:v>
                </c:pt>
                <c:pt idx="4">
                  <c:v>HHISO Full Transport</c:v>
                </c:pt>
                <c:pt idx="5">
                  <c:v>Boiler Steek</c:v>
                </c:pt>
                <c:pt idx="6">
                  <c:v>Decontamination</c:v>
                </c:pt>
                <c:pt idx="7">
                  <c:v>Size Reduction</c:v>
                </c:pt>
                <c:pt idx="8">
                  <c:v>Boiler Metal Transport </c:v>
                </c:pt>
                <c:pt idx="9">
                  <c:v>HHISO Grouting</c:v>
                </c:pt>
                <c:pt idx="10">
                  <c:v>Disposal</c:v>
                </c:pt>
              </c:strCache>
            </c:strRef>
          </c:cat>
          <c:val>
            <c:numRef>
              <c:f>'WAGR Steels Results'!$B$21:$B$31</c:f>
              <c:numCache>
                <c:formatCode>0.00E+00</c:formatCode>
                <c:ptCount val="11"/>
                <c:pt idx="0">
                  <c:v>320000</c:v>
                </c:pt>
                <c:pt idx="1">
                  <c:v>27300</c:v>
                </c:pt>
                <c:pt idx="2">
                  <c:v>2730</c:v>
                </c:pt>
                <c:pt idx="3" formatCode="General">
                  <c:v>5.31</c:v>
                </c:pt>
                <c:pt idx="4" formatCode="General">
                  <c:v>10.6</c:v>
                </c:pt>
                <c:pt idx="5">
                  <c:v>192000</c:v>
                </c:pt>
                <c:pt idx="6" formatCode="General">
                  <c:v>514</c:v>
                </c:pt>
                <c:pt idx="7">
                  <c:v>2720</c:v>
                </c:pt>
                <c:pt idx="8" formatCode="General">
                  <c:v>74.900000000000006</c:v>
                </c:pt>
                <c:pt idx="9">
                  <c:v>2560</c:v>
                </c:pt>
                <c:pt idx="10">
                  <c:v>91800</c:v>
                </c:pt>
              </c:numCache>
            </c:numRef>
          </c:val>
        </c:ser>
        <c:ser>
          <c:idx val="1"/>
          <c:order val="1"/>
          <c:tx>
            <c:strRef>
              <c:f>'WAGR Steels Results'!$C$20</c:f>
              <c:strCache>
                <c:ptCount val="1"/>
                <c:pt idx="0">
                  <c:v>100% Unalloyed Steel (Pt)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Results'!$A$21:$A$31</c:f>
              <c:strCache>
                <c:ptCount val="11"/>
                <c:pt idx="0">
                  <c:v>Overall Life Cycle</c:v>
                </c:pt>
                <c:pt idx="1">
                  <c:v>HHISO Steel</c:v>
                </c:pt>
                <c:pt idx="2">
                  <c:v>HHISO Production</c:v>
                </c:pt>
                <c:pt idx="3">
                  <c:v>HHISO Empty Transport</c:v>
                </c:pt>
                <c:pt idx="4">
                  <c:v>HHISO Full Transport</c:v>
                </c:pt>
                <c:pt idx="5">
                  <c:v>Boiler Steek</c:v>
                </c:pt>
                <c:pt idx="6">
                  <c:v>Decontamination</c:v>
                </c:pt>
                <c:pt idx="7">
                  <c:v>Size Reduction</c:v>
                </c:pt>
                <c:pt idx="8">
                  <c:v>Boiler Metal Transport </c:v>
                </c:pt>
                <c:pt idx="9">
                  <c:v>HHISO Grouting</c:v>
                </c:pt>
                <c:pt idx="10">
                  <c:v>Disposal</c:v>
                </c:pt>
              </c:strCache>
            </c:strRef>
          </c:cat>
          <c:val>
            <c:numRef>
              <c:f>'WAGR Steels Results'!$C$21:$C$31</c:f>
              <c:numCache>
                <c:formatCode>0.00E+00</c:formatCode>
                <c:ptCount val="11"/>
                <c:pt idx="0">
                  <c:v>241000</c:v>
                </c:pt>
                <c:pt idx="1">
                  <c:v>17600</c:v>
                </c:pt>
                <c:pt idx="2">
                  <c:v>1760</c:v>
                </c:pt>
                <c:pt idx="3" formatCode="General">
                  <c:v>5.31</c:v>
                </c:pt>
                <c:pt idx="4" formatCode="General">
                  <c:v>10.6</c:v>
                </c:pt>
                <c:pt idx="5">
                  <c:v>124000</c:v>
                </c:pt>
                <c:pt idx="6" formatCode="General">
                  <c:v>514</c:v>
                </c:pt>
                <c:pt idx="7">
                  <c:v>2720</c:v>
                </c:pt>
                <c:pt idx="8" formatCode="General">
                  <c:v>74.900000000000006</c:v>
                </c:pt>
                <c:pt idx="9">
                  <c:v>2560</c:v>
                </c:pt>
                <c:pt idx="10">
                  <c:v>91800</c:v>
                </c:pt>
              </c:numCache>
            </c:numRef>
          </c:val>
        </c:ser>
        <c:axId val="48697344"/>
        <c:axId val="48699264"/>
      </c:barChart>
      <c:catAx>
        <c:axId val="48697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Life Cycle Element</a:t>
                </a:r>
              </a:p>
            </c:rich>
          </c:tx>
          <c:layout>
            <c:manualLayout>
              <c:xMode val="edge"/>
              <c:yMode val="edge"/>
              <c:x val="0.49496605522075104"/>
              <c:y val="0.8579229531792397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699264"/>
        <c:crosses val="autoZero"/>
        <c:auto val="1"/>
        <c:lblAlgn val="ctr"/>
        <c:lblOffset val="100"/>
        <c:tickLblSkip val="1"/>
        <c:tickMarkSkip val="1"/>
      </c:catAx>
      <c:valAx>
        <c:axId val="486992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Eco-Indicator99 Score (Pt)</a:t>
                </a:r>
              </a:p>
            </c:rich>
          </c:tx>
          <c:layout>
            <c:manualLayout>
              <c:xMode val="edge"/>
              <c:yMode val="edge"/>
              <c:x val="2.1812050030059094E-2"/>
              <c:y val="0.18579256625179918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69734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871508379888274"/>
          <c:y val="9.6774193548387094E-2"/>
          <c:w val="9.9162011173184364E-2"/>
          <c:h val="0.4645161290322580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Comparison of Steels for WAGR Boiler Bulk Recycling</a:t>
            </a:r>
          </a:p>
        </c:rich>
      </c:tx>
      <c:layout>
        <c:manualLayout>
          <c:xMode val="edge"/>
          <c:yMode val="edge"/>
          <c:x val="0.32779483323011588"/>
          <c:y val="3.55555555555555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289397144887003"/>
          <c:y val="0.21844660194174803"/>
          <c:w val="0.74276585639652926"/>
          <c:h val="0.57766990291262099"/>
        </c:manualLayout>
      </c:layout>
      <c:barChart>
        <c:barDir val="col"/>
        <c:grouping val="clustered"/>
        <c:ser>
          <c:idx val="0"/>
          <c:order val="0"/>
          <c:tx>
            <c:strRef>
              <c:f>'WAGR Steels Results'!$B$34</c:f>
              <c:strCache>
                <c:ptCount val="1"/>
                <c:pt idx="0">
                  <c:v>100% Low Alloyed Steel (Pt)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Results'!$A$35:$A$51</c:f>
              <c:strCache>
                <c:ptCount val="17"/>
                <c:pt idx="0">
                  <c:v>Overall Life Cycle</c:v>
                </c:pt>
                <c:pt idx="1">
                  <c:v>  HHISO Steel</c:v>
                </c:pt>
                <c:pt idx="2">
                  <c:v>Boiler Steel</c:v>
                </c:pt>
                <c:pt idx="3">
                  <c:v>PVC Wrapping</c:v>
                </c:pt>
                <c:pt idx="4">
                  <c:v>UK Specialised Road Transport</c:v>
                </c:pt>
                <c:pt idx="5">
                  <c:v>  Sea Transport</c:v>
                </c:pt>
                <c:pt idx="6">
                  <c:v>Avoided Pig Iron</c:v>
                </c:pt>
                <c:pt idx="7">
                  <c:v>Size Reduction</c:v>
                </c:pt>
                <c:pt idx="8">
                  <c:v> Melting Electricity</c:v>
                </c:pt>
                <c:pt idx="9">
                  <c:v>Decontamination</c:v>
                </c:pt>
                <c:pt idx="10">
                  <c:v>  Slag</c:v>
                </c:pt>
                <c:pt idx="11">
                  <c:v>  Slag Crushing</c:v>
                </c:pt>
                <c:pt idx="12">
                  <c:v>Sweden Road Transport</c:v>
                </c:pt>
                <c:pt idx="13">
                  <c:v>  Sea Transport</c:v>
                </c:pt>
                <c:pt idx="14">
                  <c:v>UK Road Transport</c:v>
                </c:pt>
                <c:pt idx="15">
                  <c:v>Container Grouting</c:v>
                </c:pt>
                <c:pt idx="16">
                  <c:v>  Disposal</c:v>
                </c:pt>
              </c:strCache>
            </c:strRef>
          </c:cat>
          <c:val>
            <c:numRef>
              <c:f>'WAGR Steels Results'!$B$35:$B$51</c:f>
              <c:numCache>
                <c:formatCode>0.00E+00</c:formatCode>
                <c:ptCount val="17"/>
                <c:pt idx="0">
                  <c:v>106000</c:v>
                </c:pt>
                <c:pt idx="1">
                  <c:v>1560</c:v>
                </c:pt>
                <c:pt idx="2">
                  <c:v>192000</c:v>
                </c:pt>
                <c:pt idx="3" formatCode="General">
                  <c:v>354</c:v>
                </c:pt>
                <c:pt idx="4">
                  <c:v>1430</c:v>
                </c:pt>
                <c:pt idx="5">
                  <c:v>3910</c:v>
                </c:pt>
                <c:pt idx="6">
                  <c:v>-111000</c:v>
                </c:pt>
                <c:pt idx="7">
                  <c:v>2720</c:v>
                </c:pt>
                <c:pt idx="8">
                  <c:v>4550</c:v>
                </c:pt>
                <c:pt idx="9" formatCode="General">
                  <c:v>514</c:v>
                </c:pt>
                <c:pt idx="10">
                  <c:v>2990</c:v>
                </c:pt>
                <c:pt idx="11" formatCode="General">
                  <c:v>798</c:v>
                </c:pt>
                <c:pt idx="12" formatCode="General">
                  <c:v>62.6</c:v>
                </c:pt>
                <c:pt idx="13" formatCode="General">
                  <c:v>145</c:v>
                </c:pt>
                <c:pt idx="14" formatCode="General">
                  <c:v>205</c:v>
                </c:pt>
                <c:pt idx="15" formatCode="General">
                  <c:v>263</c:v>
                </c:pt>
                <c:pt idx="16">
                  <c:v>5210</c:v>
                </c:pt>
              </c:numCache>
            </c:numRef>
          </c:val>
        </c:ser>
        <c:ser>
          <c:idx val="1"/>
          <c:order val="1"/>
          <c:tx>
            <c:strRef>
              <c:f>'WAGR Steels Results'!$C$34</c:f>
              <c:strCache>
                <c:ptCount val="1"/>
                <c:pt idx="0">
                  <c:v>100% Unalloyed Steel (Pt)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Results'!$A$35:$A$51</c:f>
              <c:strCache>
                <c:ptCount val="17"/>
                <c:pt idx="0">
                  <c:v>Overall Life Cycle</c:v>
                </c:pt>
                <c:pt idx="1">
                  <c:v>  HHISO Steel</c:v>
                </c:pt>
                <c:pt idx="2">
                  <c:v>Boiler Steel</c:v>
                </c:pt>
                <c:pt idx="3">
                  <c:v>PVC Wrapping</c:v>
                </c:pt>
                <c:pt idx="4">
                  <c:v>UK Specialised Road Transport</c:v>
                </c:pt>
                <c:pt idx="5">
                  <c:v>  Sea Transport</c:v>
                </c:pt>
                <c:pt idx="6">
                  <c:v>Avoided Pig Iron</c:v>
                </c:pt>
                <c:pt idx="7">
                  <c:v>Size Reduction</c:v>
                </c:pt>
                <c:pt idx="8">
                  <c:v> Melting Electricity</c:v>
                </c:pt>
                <c:pt idx="9">
                  <c:v>Decontamination</c:v>
                </c:pt>
                <c:pt idx="10">
                  <c:v>  Slag</c:v>
                </c:pt>
                <c:pt idx="11">
                  <c:v>  Slag Crushing</c:v>
                </c:pt>
                <c:pt idx="12">
                  <c:v>Sweden Road Transport</c:v>
                </c:pt>
                <c:pt idx="13">
                  <c:v>  Sea Transport</c:v>
                </c:pt>
                <c:pt idx="14">
                  <c:v>UK Road Transport</c:v>
                </c:pt>
                <c:pt idx="15">
                  <c:v>Container Grouting</c:v>
                </c:pt>
                <c:pt idx="16">
                  <c:v>  Disposal</c:v>
                </c:pt>
              </c:strCache>
            </c:strRef>
          </c:cat>
          <c:val>
            <c:numRef>
              <c:f>'WAGR Steels Results'!$C$35:$C$51</c:f>
              <c:numCache>
                <c:formatCode>0.00E+00</c:formatCode>
                <c:ptCount val="17"/>
                <c:pt idx="0">
                  <c:v>37100</c:v>
                </c:pt>
                <c:pt idx="1">
                  <c:v>1000</c:v>
                </c:pt>
                <c:pt idx="2">
                  <c:v>124000</c:v>
                </c:pt>
                <c:pt idx="3" formatCode="General">
                  <c:v>354</c:v>
                </c:pt>
                <c:pt idx="4">
                  <c:v>1430</c:v>
                </c:pt>
                <c:pt idx="5">
                  <c:v>3910</c:v>
                </c:pt>
                <c:pt idx="6">
                  <c:v>-111000</c:v>
                </c:pt>
                <c:pt idx="7">
                  <c:v>2720</c:v>
                </c:pt>
                <c:pt idx="8">
                  <c:v>4550</c:v>
                </c:pt>
                <c:pt idx="9" formatCode="General">
                  <c:v>514</c:v>
                </c:pt>
                <c:pt idx="10">
                  <c:v>2990</c:v>
                </c:pt>
                <c:pt idx="11" formatCode="General">
                  <c:v>798</c:v>
                </c:pt>
                <c:pt idx="12" formatCode="General">
                  <c:v>62.6</c:v>
                </c:pt>
                <c:pt idx="13" formatCode="General">
                  <c:v>145</c:v>
                </c:pt>
                <c:pt idx="14" formatCode="General">
                  <c:v>205</c:v>
                </c:pt>
                <c:pt idx="15" formatCode="General">
                  <c:v>263</c:v>
                </c:pt>
                <c:pt idx="16">
                  <c:v>5210</c:v>
                </c:pt>
              </c:numCache>
            </c:numRef>
          </c:val>
        </c:ser>
        <c:axId val="48745088"/>
        <c:axId val="48755456"/>
      </c:barChart>
      <c:catAx>
        <c:axId val="487450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Life Cycle Element</a:t>
                </a:r>
              </a:p>
            </c:rich>
          </c:tx>
          <c:layout>
            <c:manualLayout>
              <c:xMode val="edge"/>
              <c:yMode val="edge"/>
              <c:x val="0.48942625851543836"/>
              <c:y val="0.8844454256302074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755456"/>
        <c:crosses val="autoZero"/>
        <c:auto val="1"/>
        <c:lblAlgn val="ctr"/>
        <c:lblOffset val="100"/>
        <c:tickLblSkip val="1"/>
        <c:tickMarkSkip val="1"/>
      </c:catAx>
      <c:valAx>
        <c:axId val="487554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Eco-Indicator99 Score (Pt)</a:t>
                </a:r>
              </a:p>
            </c:rich>
          </c:tx>
          <c:layout>
            <c:manualLayout>
              <c:xMode val="edge"/>
              <c:yMode val="edge"/>
              <c:x val="1.9637559350025067E-2"/>
              <c:y val="0.31555620967939757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74508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06000651499"/>
          <c:y val="0.20807484968648354"/>
          <c:w val="9.6910178819414675E-2"/>
          <c:h val="0.3602489934870461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Comparison of Steels for WAGR Boiler Containerised Recycling</a:t>
            </a:r>
          </a:p>
        </c:rich>
      </c:tx>
      <c:layout>
        <c:manualLayout>
          <c:xMode val="edge"/>
          <c:yMode val="edge"/>
          <c:x val="0.29601217239149452"/>
          <c:y val="3.539790859475899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3852575079872"/>
          <c:y val="0.11792473200625803"/>
          <c:w val="0.7772192715654952"/>
          <c:h val="0.69811441347704606"/>
        </c:manualLayout>
      </c:layout>
      <c:barChart>
        <c:barDir val="col"/>
        <c:grouping val="clustered"/>
        <c:ser>
          <c:idx val="0"/>
          <c:order val="0"/>
          <c:tx>
            <c:strRef>
              <c:f>'WAGR Steels Results'!$B$54</c:f>
              <c:strCache>
                <c:ptCount val="1"/>
                <c:pt idx="0">
                  <c:v>100% Low Alloyed Steel (Pt)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Results'!$A$55:$A$74</c:f>
              <c:strCache>
                <c:ptCount val="20"/>
                <c:pt idx="0">
                  <c:v>Overall Life Cycle</c:v>
                </c:pt>
                <c:pt idx="1">
                  <c:v>Steel (35 HHISO)</c:v>
                </c:pt>
                <c:pt idx="2">
                  <c:v>UK Road Transport</c:v>
                </c:pt>
                <c:pt idx="3">
                  <c:v>Sea Transport</c:v>
                </c:pt>
                <c:pt idx="4">
                  <c:v>  Sweden Road Transport</c:v>
                </c:pt>
                <c:pt idx="5">
                  <c:v>Boiler Steel</c:v>
                </c:pt>
                <c:pt idx="6">
                  <c:v>Size Reduction</c:v>
                </c:pt>
                <c:pt idx="7">
                  <c:v>UK Road Transport</c:v>
                </c:pt>
                <c:pt idx="8">
                  <c:v>Sea Transport </c:v>
                </c:pt>
                <c:pt idx="9">
                  <c:v>Sweden Road Transport</c:v>
                </c:pt>
                <c:pt idx="10">
                  <c:v>Decontamination</c:v>
                </c:pt>
                <c:pt idx="11">
                  <c:v>Melting Only Electrical Load</c:v>
                </c:pt>
                <c:pt idx="12">
                  <c:v> Pig Iron Avoided</c:v>
                </c:pt>
                <c:pt idx="13">
                  <c:v>Slag</c:v>
                </c:pt>
                <c:pt idx="14">
                  <c:v>Slag Crushing</c:v>
                </c:pt>
                <c:pt idx="15">
                  <c:v>Sweden Road Transport</c:v>
                </c:pt>
                <c:pt idx="16">
                  <c:v>Sea Transport</c:v>
                </c:pt>
                <c:pt idx="17">
                  <c:v>UK Road Transport</c:v>
                </c:pt>
                <c:pt idx="18">
                  <c:v>  Container Grouting</c:v>
                </c:pt>
                <c:pt idx="19">
                  <c:v>  Disposal</c:v>
                </c:pt>
              </c:strCache>
            </c:strRef>
          </c:cat>
          <c:val>
            <c:numRef>
              <c:f>'WAGR Steels Results'!$B$55:$B$74</c:f>
              <c:numCache>
                <c:formatCode>0.00E+00</c:formatCode>
                <c:ptCount val="20"/>
                <c:pt idx="0">
                  <c:v>108000</c:v>
                </c:pt>
                <c:pt idx="1">
                  <c:v>1560</c:v>
                </c:pt>
                <c:pt idx="2" formatCode="General">
                  <c:v>507</c:v>
                </c:pt>
                <c:pt idx="3" formatCode="General">
                  <c:v>351</c:v>
                </c:pt>
                <c:pt idx="4" formatCode="General">
                  <c:v>152</c:v>
                </c:pt>
                <c:pt idx="5">
                  <c:v>192000</c:v>
                </c:pt>
                <c:pt idx="6">
                  <c:v>2720</c:v>
                </c:pt>
                <c:pt idx="7">
                  <c:v>3580</c:v>
                </c:pt>
                <c:pt idx="8">
                  <c:v>2470</c:v>
                </c:pt>
                <c:pt idx="9">
                  <c:v>1070</c:v>
                </c:pt>
                <c:pt idx="10" formatCode="General">
                  <c:v>514</c:v>
                </c:pt>
                <c:pt idx="11">
                  <c:v>4550</c:v>
                </c:pt>
                <c:pt idx="12">
                  <c:v>-111000</c:v>
                </c:pt>
                <c:pt idx="13">
                  <c:v>2990</c:v>
                </c:pt>
                <c:pt idx="14" formatCode="General">
                  <c:v>798</c:v>
                </c:pt>
                <c:pt idx="15" formatCode="General">
                  <c:v>62.6</c:v>
                </c:pt>
                <c:pt idx="16" formatCode="General">
                  <c:v>145</c:v>
                </c:pt>
                <c:pt idx="17" formatCode="General">
                  <c:v>205</c:v>
                </c:pt>
                <c:pt idx="18" formatCode="General">
                  <c:v>263</c:v>
                </c:pt>
                <c:pt idx="19">
                  <c:v>5210</c:v>
                </c:pt>
              </c:numCache>
            </c:numRef>
          </c:val>
        </c:ser>
        <c:ser>
          <c:idx val="1"/>
          <c:order val="1"/>
          <c:tx>
            <c:strRef>
              <c:f>'WAGR Steels Results'!$C$54</c:f>
              <c:strCache>
                <c:ptCount val="1"/>
                <c:pt idx="0">
                  <c:v>100% Unalloyed Steel (Pt)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Results'!$A$55:$A$74</c:f>
              <c:strCache>
                <c:ptCount val="20"/>
                <c:pt idx="0">
                  <c:v>Overall Life Cycle</c:v>
                </c:pt>
                <c:pt idx="1">
                  <c:v>Steel (35 HHISO)</c:v>
                </c:pt>
                <c:pt idx="2">
                  <c:v>UK Road Transport</c:v>
                </c:pt>
                <c:pt idx="3">
                  <c:v>Sea Transport</c:v>
                </c:pt>
                <c:pt idx="4">
                  <c:v>  Sweden Road Transport</c:v>
                </c:pt>
                <c:pt idx="5">
                  <c:v>Boiler Steel</c:v>
                </c:pt>
                <c:pt idx="6">
                  <c:v>Size Reduction</c:v>
                </c:pt>
                <c:pt idx="7">
                  <c:v>UK Road Transport</c:v>
                </c:pt>
                <c:pt idx="8">
                  <c:v>Sea Transport </c:v>
                </c:pt>
                <c:pt idx="9">
                  <c:v>Sweden Road Transport</c:v>
                </c:pt>
                <c:pt idx="10">
                  <c:v>Decontamination</c:v>
                </c:pt>
                <c:pt idx="11">
                  <c:v>Melting Only Electrical Load</c:v>
                </c:pt>
                <c:pt idx="12">
                  <c:v> Pig Iron Avoided</c:v>
                </c:pt>
                <c:pt idx="13">
                  <c:v>Slag</c:v>
                </c:pt>
                <c:pt idx="14">
                  <c:v>Slag Crushing</c:v>
                </c:pt>
                <c:pt idx="15">
                  <c:v>Sweden Road Transport</c:v>
                </c:pt>
                <c:pt idx="16">
                  <c:v>Sea Transport</c:v>
                </c:pt>
                <c:pt idx="17">
                  <c:v>UK Road Transport</c:v>
                </c:pt>
                <c:pt idx="18">
                  <c:v>  Container Grouting</c:v>
                </c:pt>
                <c:pt idx="19">
                  <c:v>  Disposal</c:v>
                </c:pt>
              </c:strCache>
            </c:strRef>
          </c:cat>
          <c:val>
            <c:numRef>
              <c:f>'WAGR Steels Results'!$C$55:$C$74</c:f>
              <c:numCache>
                <c:formatCode>0.00E+00</c:formatCode>
                <c:ptCount val="20"/>
                <c:pt idx="0">
                  <c:v>39500</c:v>
                </c:pt>
                <c:pt idx="1">
                  <c:v>1000</c:v>
                </c:pt>
                <c:pt idx="2" formatCode="General">
                  <c:v>507</c:v>
                </c:pt>
                <c:pt idx="3" formatCode="General">
                  <c:v>351</c:v>
                </c:pt>
                <c:pt idx="4" formatCode="General">
                  <c:v>152</c:v>
                </c:pt>
                <c:pt idx="5">
                  <c:v>124000</c:v>
                </c:pt>
                <c:pt idx="6">
                  <c:v>2720</c:v>
                </c:pt>
                <c:pt idx="7">
                  <c:v>3580</c:v>
                </c:pt>
                <c:pt idx="8">
                  <c:v>2470</c:v>
                </c:pt>
                <c:pt idx="9">
                  <c:v>1070</c:v>
                </c:pt>
                <c:pt idx="10" formatCode="General">
                  <c:v>514</c:v>
                </c:pt>
                <c:pt idx="11">
                  <c:v>4550</c:v>
                </c:pt>
                <c:pt idx="12">
                  <c:v>-111000</c:v>
                </c:pt>
                <c:pt idx="13">
                  <c:v>2990</c:v>
                </c:pt>
                <c:pt idx="14" formatCode="General">
                  <c:v>798</c:v>
                </c:pt>
                <c:pt idx="15" formatCode="General">
                  <c:v>62.6</c:v>
                </c:pt>
                <c:pt idx="16" formatCode="General">
                  <c:v>145</c:v>
                </c:pt>
                <c:pt idx="17" formatCode="General">
                  <c:v>205</c:v>
                </c:pt>
                <c:pt idx="18" formatCode="General">
                  <c:v>263</c:v>
                </c:pt>
                <c:pt idx="19">
                  <c:v>5210</c:v>
                </c:pt>
              </c:numCache>
            </c:numRef>
          </c:val>
        </c:ser>
        <c:axId val="48174592"/>
        <c:axId val="48176512"/>
      </c:barChart>
      <c:catAx>
        <c:axId val="48174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Life Cycle Element</a:t>
                </a:r>
              </a:p>
            </c:rich>
          </c:tx>
          <c:layout>
            <c:manualLayout>
              <c:xMode val="edge"/>
              <c:yMode val="edge"/>
              <c:x val="0.48926395070181444"/>
              <c:y val="0.8849573803274590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176512"/>
        <c:crosses val="autoZero"/>
        <c:auto val="1"/>
        <c:lblAlgn val="ctr"/>
        <c:lblOffset val="100"/>
        <c:tickLblSkip val="1"/>
        <c:tickMarkSkip val="1"/>
      </c:catAx>
      <c:valAx>
        <c:axId val="481765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Score (Pt)</a:t>
                </a:r>
              </a:p>
            </c:rich>
          </c:tx>
          <c:layout>
            <c:manualLayout>
              <c:xMode val="edge"/>
              <c:yMode val="edge"/>
              <c:x val="1.9938681577846246E-2"/>
              <c:y val="0.33628363121276511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17459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20416412500581"/>
          <c:y val="0.44936778296792018"/>
          <c:w val="8.8405922223055683E-2"/>
          <c:h val="0.3322789944481099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1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Low Level Waste Volumes from National Inventories up to April 2010</a:t>
            </a:r>
          </a:p>
        </c:rich>
      </c:tx>
      <c:layout>
        <c:manualLayout>
          <c:xMode val="edge"/>
          <c:yMode val="edge"/>
          <c:x val="0.20540618137018585"/>
          <c:y val="1.736094463601885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975118394347133E-2"/>
          <c:y val="0.2045977011494253"/>
          <c:w val="0.87508555648310438"/>
          <c:h val="0.31954022988505748"/>
        </c:manualLayout>
      </c:layout>
      <c:scatterChart>
        <c:scatterStyle val="smoothMarker"/>
        <c:ser>
          <c:idx val="0"/>
          <c:order val="0"/>
          <c:tx>
            <c:strRef>
              <c:f>'General metal graphs'!$A$117</c:f>
              <c:strCache>
                <c:ptCount val="1"/>
                <c:pt idx="0">
                  <c:v>LLW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'General metal graphs'!$B$116:$H$116</c:f>
              <c:numCache>
                <c:formatCode>General</c:formatCode>
                <c:ptCount val="7"/>
                <c:pt idx="0">
                  <c:v>1991</c:v>
                </c:pt>
                <c:pt idx="1">
                  <c:v>1994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</c:numCache>
            </c:numRef>
          </c:xVal>
          <c:yVal>
            <c:numRef>
              <c:f>'General metal graphs'!$B$117:$H$117</c:f>
              <c:numCache>
                <c:formatCode>General</c:formatCode>
                <c:ptCount val="7"/>
                <c:pt idx="0">
                  <c:v>1.42</c:v>
                </c:pt>
                <c:pt idx="1">
                  <c:v>1.907</c:v>
                </c:pt>
                <c:pt idx="2">
                  <c:v>1.8620000000000001</c:v>
                </c:pt>
                <c:pt idx="3">
                  <c:v>1.508</c:v>
                </c:pt>
                <c:pt idx="4">
                  <c:v>2.06</c:v>
                </c:pt>
                <c:pt idx="5">
                  <c:v>3.19</c:v>
                </c:pt>
                <c:pt idx="6">
                  <c:v>4.43</c:v>
                </c:pt>
              </c:numCache>
            </c:numRef>
          </c:yVal>
          <c:smooth val="1"/>
        </c:ser>
        <c:axId val="52356224"/>
        <c:axId val="52358528"/>
      </c:scatterChart>
      <c:valAx>
        <c:axId val="52356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093052654132519"/>
              <c:y val="0.9236120894724225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358528"/>
        <c:crosses val="autoZero"/>
        <c:crossBetween val="midCat"/>
      </c:valAx>
      <c:valAx>
        <c:axId val="523585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Volume (million m3)</a:t>
                </a:r>
              </a:p>
            </c:rich>
          </c:tx>
          <c:layout>
            <c:manualLayout>
              <c:xMode val="edge"/>
              <c:yMode val="edge"/>
              <c:x val="7.4491402860356742E-3"/>
              <c:y val="0.309028256713812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356224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WAGR Boiler Disposition Assuming Low Alloyed Steel</a:t>
            </a:r>
          </a:p>
        </c:rich>
      </c:tx>
      <c:layout>
        <c:manualLayout>
          <c:xMode val="edge"/>
          <c:yMode val="edge"/>
          <c:x val="0.29144815482402048"/>
          <c:y val="3.52424368006630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8013891340455"/>
          <c:y val="0.17105253999808298"/>
          <c:w val="0.68118437925996489"/>
          <c:h val="0.67105227230017328"/>
        </c:manualLayout>
      </c:layout>
      <c:barChart>
        <c:barDir val="col"/>
        <c:grouping val="stacked"/>
        <c:ser>
          <c:idx val="0"/>
          <c:order val="0"/>
          <c:tx>
            <c:strRef>
              <c:f>'WAGR Steels Results'!$A$79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Results'!$B$78:$E$78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Steels Results'!$B$79:$E$79</c:f>
              <c:numCache>
                <c:formatCode>0.00E+00</c:formatCode>
                <c:ptCount val="4"/>
                <c:pt idx="0">
                  <c:v>192000</c:v>
                </c:pt>
                <c:pt idx="1">
                  <c:v>192000</c:v>
                </c:pt>
                <c:pt idx="2">
                  <c:v>192000</c:v>
                </c:pt>
                <c:pt idx="3">
                  <c:v>192000</c:v>
                </c:pt>
              </c:numCache>
            </c:numRef>
          </c:val>
        </c:ser>
        <c:ser>
          <c:idx val="1"/>
          <c:order val="1"/>
          <c:tx>
            <c:strRef>
              <c:f>'WAGR Steels Results'!$A$80</c:f>
              <c:strCache>
                <c:ptCount val="1"/>
                <c:pt idx="0">
                  <c:v>HHISO Steel &amp; Production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Results'!$B$78:$E$78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Steels Results'!$B$80:$E$80</c:f>
              <c:numCache>
                <c:formatCode>0.00E+00</c:formatCode>
                <c:ptCount val="4"/>
                <c:pt idx="0" formatCode="General">
                  <c:v>0</c:v>
                </c:pt>
                <c:pt idx="1">
                  <c:v>30000</c:v>
                </c:pt>
                <c:pt idx="2">
                  <c:v>1716</c:v>
                </c:pt>
                <c:pt idx="3">
                  <c:v>1716</c:v>
                </c:pt>
              </c:numCache>
            </c:numRef>
          </c:val>
        </c:ser>
        <c:ser>
          <c:idx val="2"/>
          <c:order val="2"/>
          <c:tx>
            <c:strRef>
              <c:f>'WAGR Steels Results'!$A$81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Results'!$B$78:$E$78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Steels Results'!$B$81:$E$81</c:f>
              <c:numCache>
                <c:formatCode>General</c:formatCode>
                <c:ptCount val="4"/>
                <c:pt idx="0">
                  <c:v>524</c:v>
                </c:pt>
                <c:pt idx="1">
                  <c:v>90.8</c:v>
                </c:pt>
                <c:pt idx="2" formatCode="0.00E+00">
                  <c:v>1697.6</c:v>
                </c:pt>
                <c:pt idx="3" formatCode="0.00E+00">
                  <c:v>5576.6</c:v>
                </c:pt>
              </c:numCache>
            </c:numRef>
          </c:val>
        </c:ser>
        <c:ser>
          <c:idx val="3"/>
          <c:order val="3"/>
          <c:tx>
            <c:strRef>
              <c:f>'WAGR Steels Results'!$A$82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Results'!$B$78:$E$78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Steels Results'!$B$82:$E$82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 formatCode="0.00E+00">
                  <c:v>4055</c:v>
                </c:pt>
                <c:pt idx="3" formatCode="0.00E+00">
                  <c:v>2966</c:v>
                </c:pt>
              </c:numCache>
            </c:numRef>
          </c:val>
        </c:ser>
        <c:ser>
          <c:idx val="4"/>
          <c:order val="4"/>
          <c:tx>
            <c:strRef>
              <c:f>'WAGR Steels Results'!$A$83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Results'!$B$78:$E$78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Steels Results'!$B$83:$E$83</c:f>
              <c:numCache>
                <c:formatCode>0.00E+00</c:formatCode>
                <c:ptCount val="4"/>
                <c:pt idx="0" formatCode="General">
                  <c:v>0</c:v>
                </c:pt>
                <c:pt idx="1">
                  <c:v>3234</c:v>
                </c:pt>
                <c:pt idx="2">
                  <c:v>3234</c:v>
                </c:pt>
                <c:pt idx="3">
                  <c:v>3234</c:v>
                </c:pt>
              </c:numCache>
            </c:numRef>
          </c:val>
        </c:ser>
        <c:ser>
          <c:idx val="5"/>
          <c:order val="5"/>
          <c:tx>
            <c:strRef>
              <c:f>'WAGR Steels Results'!$A$84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Results'!$B$78:$E$78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Steels Results'!$B$84:$E$84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 formatCode="0.00E+00">
                  <c:v>4550</c:v>
                </c:pt>
                <c:pt idx="3" formatCode="0.00E+00">
                  <c:v>4550</c:v>
                </c:pt>
              </c:numCache>
            </c:numRef>
          </c:val>
        </c:ser>
        <c:ser>
          <c:idx val="6"/>
          <c:order val="6"/>
          <c:tx>
            <c:strRef>
              <c:f>'WAGR Steels Results'!$A$85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Results'!$B$78:$E$78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Steels Results'!$B$85:$E$85</c:f>
              <c:numCache>
                <c:formatCode>General</c:formatCode>
                <c:ptCount val="4"/>
                <c:pt idx="0">
                  <c:v>0</c:v>
                </c:pt>
                <c:pt idx="1">
                  <c:v>9</c:v>
                </c:pt>
                <c:pt idx="2" formatCode="0.00E+00">
                  <c:v>4142</c:v>
                </c:pt>
                <c:pt idx="3" formatCode="0.00E+00">
                  <c:v>3788</c:v>
                </c:pt>
              </c:numCache>
            </c:numRef>
          </c:val>
        </c:ser>
        <c:ser>
          <c:idx val="7"/>
          <c:order val="7"/>
          <c:tx>
            <c:strRef>
              <c:f>'WAGR Steels Results'!$A$86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Results'!$B$78:$E$78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Steels Results'!$B$86:$E$86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 formatCode="0.00E+00">
                  <c:v>-111000</c:v>
                </c:pt>
                <c:pt idx="3" formatCode="0.00E+00">
                  <c:v>-111000</c:v>
                </c:pt>
              </c:numCache>
            </c:numRef>
          </c:val>
        </c:ser>
        <c:ser>
          <c:idx val="8"/>
          <c:order val="8"/>
          <c:tx>
            <c:strRef>
              <c:f>'WAGR Steels Results'!$A$87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Results'!$B$78:$E$78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Steels Results'!$B$87:$E$87</c:f>
              <c:numCache>
                <c:formatCode>0.00E+00</c:formatCode>
                <c:ptCount val="4"/>
                <c:pt idx="0">
                  <c:v>101000</c:v>
                </c:pt>
                <c:pt idx="1">
                  <c:v>94400</c:v>
                </c:pt>
                <c:pt idx="2">
                  <c:v>5473</c:v>
                </c:pt>
                <c:pt idx="3">
                  <c:v>5473</c:v>
                </c:pt>
              </c:numCache>
            </c:numRef>
          </c:val>
        </c:ser>
        <c:ser>
          <c:idx val="9"/>
          <c:order val="9"/>
          <c:tx>
            <c:strRef>
              <c:f>'WAGR Steels Results'!$A$88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Results'!$B$78:$E$78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Steels Results'!$B$88:$E$88</c:f>
              <c:numCache>
                <c:formatCode>General</c:formatCode>
                <c:ptCount val="4"/>
                <c:pt idx="0" formatCode="0.00E+00">
                  <c:v>8260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overlap val="100"/>
        <c:axId val="48950272"/>
        <c:axId val="48510080"/>
      </c:barChart>
      <c:catAx>
        <c:axId val="489502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Disposition Option</a:t>
                </a:r>
              </a:p>
            </c:rich>
          </c:tx>
          <c:layout>
            <c:manualLayout>
              <c:xMode val="edge"/>
              <c:yMode val="edge"/>
              <c:x val="0.39266973405432753"/>
              <c:y val="0.8854611594603306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510080"/>
        <c:crosses val="autoZero"/>
        <c:auto val="1"/>
        <c:lblAlgn val="ctr"/>
        <c:lblOffset val="100"/>
        <c:tickLblSkip val="1"/>
        <c:tickMarkSkip val="1"/>
      </c:catAx>
      <c:valAx>
        <c:axId val="485100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Eco-Indicator99 Score (Pt)</a:t>
                </a:r>
              </a:p>
            </c:rich>
          </c:tx>
          <c:layout>
            <c:manualLayout>
              <c:xMode val="edge"/>
              <c:yMode val="edge"/>
              <c:x val="2.2687600796888342E-2"/>
              <c:y val="0.29074856870961308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95027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654135338345868"/>
          <c:y val="0.12244915390561496"/>
          <c:w val="0.14586466165413534"/>
          <c:h val="0.7638494838874075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8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WAGR Boiler Disposition Assuming Unalloyed Steel</a:t>
            </a:r>
          </a:p>
        </c:rich>
      </c:tx>
      <c:layout>
        <c:manualLayout>
          <c:xMode val="edge"/>
          <c:yMode val="edge"/>
          <c:x val="0.30017428487049264"/>
          <c:y val="3.524226138399366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462467030922703"/>
          <c:y val="0.18352026363481699"/>
          <c:w val="0.72372398902466495"/>
          <c:h val="0.58426859442921486"/>
        </c:manualLayout>
      </c:layout>
      <c:barChart>
        <c:barDir val="col"/>
        <c:grouping val="stacked"/>
        <c:ser>
          <c:idx val="0"/>
          <c:order val="0"/>
          <c:tx>
            <c:strRef>
              <c:f>'WAGR Steels Results'!$A$94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Results'!$B$93:$E$93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Steels Results'!$B$94:$E$94</c:f>
              <c:numCache>
                <c:formatCode>0.00E+00</c:formatCode>
                <c:ptCount val="4"/>
                <c:pt idx="0">
                  <c:v>124000</c:v>
                </c:pt>
                <c:pt idx="1">
                  <c:v>124000</c:v>
                </c:pt>
                <c:pt idx="2">
                  <c:v>124000</c:v>
                </c:pt>
                <c:pt idx="3">
                  <c:v>124000</c:v>
                </c:pt>
              </c:numCache>
            </c:numRef>
          </c:val>
        </c:ser>
        <c:ser>
          <c:idx val="1"/>
          <c:order val="1"/>
          <c:tx>
            <c:strRef>
              <c:f>'WAGR Steels Results'!$A$95</c:f>
              <c:strCache>
                <c:ptCount val="1"/>
                <c:pt idx="0">
                  <c:v>HHISO Steel &amp; Production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Results'!$B$93:$E$93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Steels Results'!$B$95:$E$95</c:f>
              <c:numCache>
                <c:formatCode>0.00E+00</c:formatCode>
                <c:ptCount val="4"/>
                <c:pt idx="0" formatCode="General">
                  <c:v>0</c:v>
                </c:pt>
                <c:pt idx="1">
                  <c:v>19360</c:v>
                </c:pt>
                <c:pt idx="2">
                  <c:v>1100</c:v>
                </c:pt>
                <c:pt idx="3">
                  <c:v>1100</c:v>
                </c:pt>
              </c:numCache>
            </c:numRef>
          </c:val>
        </c:ser>
        <c:ser>
          <c:idx val="2"/>
          <c:order val="2"/>
          <c:tx>
            <c:strRef>
              <c:f>'WAGR Steels Results'!$A$96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Results'!$B$93:$E$93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Steels Results'!$B$96:$E$96</c:f>
              <c:numCache>
                <c:formatCode>General</c:formatCode>
                <c:ptCount val="4"/>
                <c:pt idx="0">
                  <c:v>524</c:v>
                </c:pt>
                <c:pt idx="1">
                  <c:v>90.8</c:v>
                </c:pt>
                <c:pt idx="2" formatCode="0.00E+00">
                  <c:v>1697.6</c:v>
                </c:pt>
                <c:pt idx="3" formatCode="0.00E+00">
                  <c:v>5576.6</c:v>
                </c:pt>
              </c:numCache>
            </c:numRef>
          </c:val>
        </c:ser>
        <c:ser>
          <c:idx val="3"/>
          <c:order val="3"/>
          <c:tx>
            <c:strRef>
              <c:f>'WAGR Steels Results'!$A$97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Results'!$B$93:$E$93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Steels Results'!$B$97:$E$97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 formatCode="0.00E+00">
                  <c:v>4055</c:v>
                </c:pt>
                <c:pt idx="3" formatCode="0.00E+00">
                  <c:v>2966</c:v>
                </c:pt>
              </c:numCache>
            </c:numRef>
          </c:val>
        </c:ser>
        <c:ser>
          <c:idx val="4"/>
          <c:order val="4"/>
          <c:tx>
            <c:strRef>
              <c:f>'WAGR Steels Results'!$A$98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Results'!$B$93:$E$93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Steels Results'!$B$98:$E$98</c:f>
              <c:numCache>
                <c:formatCode>0.00E+00</c:formatCode>
                <c:ptCount val="4"/>
                <c:pt idx="0" formatCode="General">
                  <c:v>0</c:v>
                </c:pt>
                <c:pt idx="1">
                  <c:v>3234</c:v>
                </c:pt>
                <c:pt idx="2">
                  <c:v>3234</c:v>
                </c:pt>
                <c:pt idx="3">
                  <c:v>3234</c:v>
                </c:pt>
              </c:numCache>
            </c:numRef>
          </c:val>
        </c:ser>
        <c:ser>
          <c:idx val="5"/>
          <c:order val="5"/>
          <c:tx>
            <c:strRef>
              <c:f>'WAGR Steels Results'!$A$99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Results'!$B$93:$E$93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Steels Results'!$B$99:$E$99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 formatCode="0.00E+00">
                  <c:v>4550</c:v>
                </c:pt>
                <c:pt idx="3" formatCode="0.00E+00">
                  <c:v>4550</c:v>
                </c:pt>
              </c:numCache>
            </c:numRef>
          </c:val>
        </c:ser>
        <c:ser>
          <c:idx val="6"/>
          <c:order val="6"/>
          <c:tx>
            <c:strRef>
              <c:f>'WAGR Steels Results'!$A$100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Results'!$B$93:$E$93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Steels Results'!$B$100:$E$100</c:f>
              <c:numCache>
                <c:formatCode>General</c:formatCode>
                <c:ptCount val="4"/>
                <c:pt idx="0">
                  <c:v>0</c:v>
                </c:pt>
                <c:pt idx="1">
                  <c:v>9</c:v>
                </c:pt>
                <c:pt idx="2" formatCode="0.00E+00">
                  <c:v>4142</c:v>
                </c:pt>
                <c:pt idx="3" formatCode="0.00E+00">
                  <c:v>3788</c:v>
                </c:pt>
              </c:numCache>
            </c:numRef>
          </c:val>
        </c:ser>
        <c:ser>
          <c:idx val="7"/>
          <c:order val="7"/>
          <c:tx>
            <c:strRef>
              <c:f>'WAGR Steels Results'!$A$101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Results'!$B$93:$E$93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Steels Results'!$B$101:$E$101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 formatCode="0.00E+00">
                  <c:v>-111000</c:v>
                </c:pt>
                <c:pt idx="3" formatCode="0.00E+00">
                  <c:v>-111000</c:v>
                </c:pt>
              </c:numCache>
            </c:numRef>
          </c:val>
        </c:ser>
        <c:ser>
          <c:idx val="8"/>
          <c:order val="8"/>
          <c:tx>
            <c:strRef>
              <c:f>'WAGR Steels Results'!$A$102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Results'!$B$93:$E$93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Steels Results'!$B$102:$E$102</c:f>
              <c:numCache>
                <c:formatCode>0.00E+00</c:formatCode>
                <c:ptCount val="4"/>
                <c:pt idx="0">
                  <c:v>101000</c:v>
                </c:pt>
                <c:pt idx="1">
                  <c:v>94400</c:v>
                </c:pt>
                <c:pt idx="2">
                  <c:v>5473</c:v>
                </c:pt>
                <c:pt idx="3">
                  <c:v>5473</c:v>
                </c:pt>
              </c:numCache>
            </c:numRef>
          </c:val>
        </c:ser>
        <c:ser>
          <c:idx val="9"/>
          <c:order val="9"/>
          <c:tx>
            <c:strRef>
              <c:f>'WAGR Steels Results'!$A$103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Results'!$B$93:$E$93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Steels Results'!$B$103:$E$103</c:f>
              <c:numCache>
                <c:formatCode>General</c:formatCode>
                <c:ptCount val="4"/>
                <c:pt idx="0" formatCode="0.00E+00">
                  <c:v>8260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overlap val="100"/>
        <c:axId val="48788224"/>
        <c:axId val="48790144"/>
      </c:barChart>
      <c:catAx>
        <c:axId val="48788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Disposition Option</a:t>
                </a:r>
              </a:p>
            </c:rich>
          </c:tx>
          <c:layout>
            <c:manualLayout>
              <c:xMode val="edge"/>
              <c:yMode val="edge"/>
              <c:x val="0.39266988615329579"/>
              <c:y val="0.8854612617867210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790144"/>
        <c:crosses val="autoZero"/>
        <c:auto val="1"/>
        <c:lblAlgn val="ctr"/>
        <c:lblOffset val="100"/>
        <c:tickLblSkip val="1"/>
        <c:tickMarkSkip val="1"/>
      </c:catAx>
      <c:valAx>
        <c:axId val="487901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Eco-Indicator99 Score (Pt)</a:t>
                </a:r>
              </a:p>
            </c:rich>
          </c:tx>
          <c:layout>
            <c:manualLayout>
              <c:xMode val="edge"/>
              <c:yMode val="edge"/>
              <c:x val="2.2687647403820958E-2"/>
              <c:y val="0.29074865641794773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78822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70839936608557"/>
          <c:y val="0.12698412698412698"/>
          <c:w val="0.11410459587955626"/>
          <c:h val="0.7513227513227512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8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WAGR Boiler Disposition Options with Low Alloyed (L.A.) and Unalloyed (U.A.) Steel</a:t>
            </a:r>
          </a:p>
        </c:rich>
      </c:tx>
      <c:layout>
        <c:manualLayout>
          <c:xMode val="edge"/>
          <c:yMode val="edge"/>
          <c:x val="0.14750947798191894"/>
          <c:y val="3.87928186293007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181828996652201"/>
          <c:y val="0.19064748201438803"/>
          <c:w val="0.70181880488175097"/>
          <c:h val="0.65467625899280613"/>
        </c:manualLayout>
      </c:layout>
      <c:barChart>
        <c:barDir val="col"/>
        <c:grouping val="stacked"/>
        <c:ser>
          <c:idx val="0"/>
          <c:order val="0"/>
          <c:tx>
            <c:strRef>
              <c:f>'WAGR Steels Results'!$A$110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Results'!$B$109:$I$109</c:f>
              <c:strCache>
                <c:ptCount val="8"/>
                <c:pt idx="0">
                  <c:v>Direct Disposal L.A.</c:v>
                </c:pt>
                <c:pt idx="1">
                  <c:v>Direct Disposal U.A.</c:v>
                </c:pt>
                <c:pt idx="2">
                  <c:v>Packaged Disposal L.A.</c:v>
                </c:pt>
                <c:pt idx="3">
                  <c:v>Packaged Disposal U.A.</c:v>
                </c:pt>
                <c:pt idx="4">
                  <c:v>Bulk Recycling L.A</c:v>
                </c:pt>
                <c:pt idx="5">
                  <c:v>Bulk Recycling U.A.</c:v>
                </c:pt>
                <c:pt idx="6">
                  <c:v>Containerised Recycling L.A.</c:v>
                </c:pt>
                <c:pt idx="7">
                  <c:v>Containerised Recycling U.A.</c:v>
                </c:pt>
              </c:strCache>
            </c:strRef>
          </c:cat>
          <c:val>
            <c:numRef>
              <c:f>'WAGR Steels Results'!$B$110:$I$110</c:f>
              <c:numCache>
                <c:formatCode>0.00E+00</c:formatCode>
                <c:ptCount val="8"/>
                <c:pt idx="0">
                  <c:v>192000</c:v>
                </c:pt>
                <c:pt idx="1">
                  <c:v>124000</c:v>
                </c:pt>
                <c:pt idx="2">
                  <c:v>192000</c:v>
                </c:pt>
                <c:pt idx="3">
                  <c:v>124000</c:v>
                </c:pt>
                <c:pt idx="4">
                  <c:v>192000</c:v>
                </c:pt>
                <c:pt idx="5">
                  <c:v>124000</c:v>
                </c:pt>
                <c:pt idx="6">
                  <c:v>192000</c:v>
                </c:pt>
                <c:pt idx="7">
                  <c:v>124000</c:v>
                </c:pt>
              </c:numCache>
            </c:numRef>
          </c:val>
        </c:ser>
        <c:ser>
          <c:idx val="1"/>
          <c:order val="1"/>
          <c:tx>
            <c:strRef>
              <c:f>'WAGR Steels Results'!$A$111</c:f>
              <c:strCache>
                <c:ptCount val="1"/>
                <c:pt idx="0">
                  <c:v>HHISO Steel &amp; Production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Results'!$B$109:$I$109</c:f>
              <c:strCache>
                <c:ptCount val="8"/>
                <c:pt idx="0">
                  <c:v>Direct Disposal L.A.</c:v>
                </c:pt>
                <c:pt idx="1">
                  <c:v>Direct Disposal U.A.</c:v>
                </c:pt>
                <c:pt idx="2">
                  <c:v>Packaged Disposal L.A.</c:v>
                </c:pt>
                <c:pt idx="3">
                  <c:v>Packaged Disposal U.A.</c:v>
                </c:pt>
                <c:pt idx="4">
                  <c:v>Bulk Recycling L.A</c:v>
                </c:pt>
                <c:pt idx="5">
                  <c:v>Bulk Recycling U.A.</c:v>
                </c:pt>
                <c:pt idx="6">
                  <c:v>Containerised Recycling L.A.</c:v>
                </c:pt>
                <c:pt idx="7">
                  <c:v>Containerised Recycling U.A.</c:v>
                </c:pt>
              </c:strCache>
            </c:strRef>
          </c:cat>
          <c:val>
            <c:numRef>
              <c:f>'WAGR Steels Results'!$B$111:$I$111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 formatCode="0.00E+00">
                  <c:v>30000</c:v>
                </c:pt>
                <c:pt idx="3" formatCode="0.00E+00">
                  <c:v>19360</c:v>
                </c:pt>
                <c:pt idx="4" formatCode="0.00E+00">
                  <c:v>1716</c:v>
                </c:pt>
                <c:pt idx="5" formatCode="0.00E+00">
                  <c:v>1100</c:v>
                </c:pt>
                <c:pt idx="6" formatCode="0.00E+00">
                  <c:v>1716</c:v>
                </c:pt>
                <c:pt idx="7" formatCode="0.00E+00">
                  <c:v>1100</c:v>
                </c:pt>
              </c:numCache>
            </c:numRef>
          </c:val>
        </c:ser>
        <c:ser>
          <c:idx val="2"/>
          <c:order val="2"/>
          <c:tx>
            <c:strRef>
              <c:f>'WAGR Steels Results'!$A$112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Results'!$B$109:$I$109</c:f>
              <c:strCache>
                <c:ptCount val="8"/>
                <c:pt idx="0">
                  <c:v>Direct Disposal L.A.</c:v>
                </c:pt>
                <c:pt idx="1">
                  <c:v>Direct Disposal U.A.</c:v>
                </c:pt>
                <c:pt idx="2">
                  <c:v>Packaged Disposal L.A.</c:v>
                </c:pt>
                <c:pt idx="3">
                  <c:v>Packaged Disposal U.A.</c:v>
                </c:pt>
                <c:pt idx="4">
                  <c:v>Bulk Recycling L.A</c:v>
                </c:pt>
                <c:pt idx="5">
                  <c:v>Bulk Recycling U.A.</c:v>
                </c:pt>
                <c:pt idx="6">
                  <c:v>Containerised Recycling L.A.</c:v>
                </c:pt>
                <c:pt idx="7">
                  <c:v>Containerised Recycling U.A.</c:v>
                </c:pt>
              </c:strCache>
            </c:strRef>
          </c:cat>
          <c:val>
            <c:numRef>
              <c:f>'WAGR Steels Results'!$B$112:$I$112</c:f>
              <c:numCache>
                <c:formatCode>General</c:formatCode>
                <c:ptCount val="8"/>
                <c:pt idx="0">
                  <c:v>524</c:v>
                </c:pt>
                <c:pt idx="1">
                  <c:v>524</c:v>
                </c:pt>
                <c:pt idx="2">
                  <c:v>90.8</c:v>
                </c:pt>
                <c:pt idx="3">
                  <c:v>90.8</c:v>
                </c:pt>
                <c:pt idx="4" formatCode="0.00E+00">
                  <c:v>1697.6</c:v>
                </c:pt>
                <c:pt idx="5" formatCode="0.00E+00">
                  <c:v>1697.6</c:v>
                </c:pt>
                <c:pt idx="6" formatCode="0.00E+00">
                  <c:v>5576.6</c:v>
                </c:pt>
                <c:pt idx="7" formatCode="0.00E+00">
                  <c:v>5576.6</c:v>
                </c:pt>
              </c:numCache>
            </c:numRef>
          </c:val>
        </c:ser>
        <c:ser>
          <c:idx val="3"/>
          <c:order val="3"/>
          <c:tx>
            <c:strRef>
              <c:f>'WAGR Steels Results'!$A$113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Results'!$B$109:$I$109</c:f>
              <c:strCache>
                <c:ptCount val="8"/>
                <c:pt idx="0">
                  <c:v>Direct Disposal L.A.</c:v>
                </c:pt>
                <c:pt idx="1">
                  <c:v>Direct Disposal U.A.</c:v>
                </c:pt>
                <c:pt idx="2">
                  <c:v>Packaged Disposal L.A.</c:v>
                </c:pt>
                <c:pt idx="3">
                  <c:v>Packaged Disposal U.A.</c:v>
                </c:pt>
                <c:pt idx="4">
                  <c:v>Bulk Recycling L.A</c:v>
                </c:pt>
                <c:pt idx="5">
                  <c:v>Bulk Recycling U.A.</c:v>
                </c:pt>
                <c:pt idx="6">
                  <c:v>Containerised Recycling L.A.</c:v>
                </c:pt>
                <c:pt idx="7">
                  <c:v>Containerised Recycling U.A.</c:v>
                </c:pt>
              </c:strCache>
            </c:strRef>
          </c:cat>
          <c:val>
            <c:numRef>
              <c:f>'WAGR Steels Results'!$B$113:$I$113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E+00">
                  <c:v>4055</c:v>
                </c:pt>
                <c:pt idx="5" formatCode="0.00E+00">
                  <c:v>4055</c:v>
                </c:pt>
                <c:pt idx="6" formatCode="0.00E+00">
                  <c:v>2966</c:v>
                </c:pt>
                <c:pt idx="7" formatCode="0.00E+00">
                  <c:v>2966</c:v>
                </c:pt>
              </c:numCache>
            </c:numRef>
          </c:val>
        </c:ser>
        <c:ser>
          <c:idx val="4"/>
          <c:order val="4"/>
          <c:tx>
            <c:strRef>
              <c:f>'WAGR Steels Results'!$A$114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Results'!$B$109:$I$109</c:f>
              <c:strCache>
                <c:ptCount val="8"/>
                <c:pt idx="0">
                  <c:v>Direct Disposal L.A.</c:v>
                </c:pt>
                <c:pt idx="1">
                  <c:v>Direct Disposal U.A.</c:v>
                </c:pt>
                <c:pt idx="2">
                  <c:v>Packaged Disposal L.A.</c:v>
                </c:pt>
                <c:pt idx="3">
                  <c:v>Packaged Disposal U.A.</c:v>
                </c:pt>
                <c:pt idx="4">
                  <c:v>Bulk Recycling L.A</c:v>
                </c:pt>
                <c:pt idx="5">
                  <c:v>Bulk Recycling U.A.</c:v>
                </c:pt>
                <c:pt idx="6">
                  <c:v>Containerised Recycling L.A.</c:v>
                </c:pt>
                <c:pt idx="7">
                  <c:v>Containerised Recycling U.A.</c:v>
                </c:pt>
              </c:strCache>
            </c:strRef>
          </c:cat>
          <c:val>
            <c:numRef>
              <c:f>'WAGR Steels Results'!$B$114:$I$114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 formatCode="0.00E+00">
                  <c:v>3234</c:v>
                </c:pt>
                <c:pt idx="3" formatCode="0.00E+00">
                  <c:v>3234</c:v>
                </c:pt>
                <c:pt idx="4" formatCode="0.00E+00">
                  <c:v>3234</c:v>
                </c:pt>
                <c:pt idx="5" formatCode="0.00E+00">
                  <c:v>3234</c:v>
                </c:pt>
                <c:pt idx="6" formatCode="0.00E+00">
                  <c:v>3234</c:v>
                </c:pt>
                <c:pt idx="7" formatCode="0.00E+00">
                  <c:v>3234</c:v>
                </c:pt>
              </c:numCache>
            </c:numRef>
          </c:val>
        </c:ser>
        <c:ser>
          <c:idx val="5"/>
          <c:order val="5"/>
          <c:tx>
            <c:strRef>
              <c:f>'WAGR Steels Results'!$A$115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Results'!$B$109:$I$109</c:f>
              <c:strCache>
                <c:ptCount val="8"/>
                <c:pt idx="0">
                  <c:v>Direct Disposal L.A.</c:v>
                </c:pt>
                <c:pt idx="1">
                  <c:v>Direct Disposal U.A.</c:v>
                </c:pt>
                <c:pt idx="2">
                  <c:v>Packaged Disposal L.A.</c:v>
                </c:pt>
                <c:pt idx="3">
                  <c:v>Packaged Disposal U.A.</c:v>
                </c:pt>
                <c:pt idx="4">
                  <c:v>Bulk Recycling L.A</c:v>
                </c:pt>
                <c:pt idx="5">
                  <c:v>Bulk Recycling U.A.</c:v>
                </c:pt>
                <c:pt idx="6">
                  <c:v>Containerised Recycling L.A.</c:v>
                </c:pt>
                <c:pt idx="7">
                  <c:v>Containerised Recycling U.A.</c:v>
                </c:pt>
              </c:strCache>
            </c:strRef>
          </c:cat>
          <c:val>
            <c:numRef>
              <c:f>'WAGR Steels Results'!$B$115:$I$115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E+00">
                  <c:v>4550</c:v>
                </c:pt>
                <c:pt idx="5" formatCode="0.00E+00">
                  <c:v>4550</c:v>
                </c:pt>
                <c:pt idx="6" formatCode="0.00E+00">
                  <c:v>4550</c:v>
                </c:pt>
                <c:pt idx="7" formatCode="0.00E+00">
                  <c:v>4550</c:v>
                </c:pt>
              </c:numCache>
            </c:numRef>
          </c:val>
        </c:ser>
        <c:ser>
          <c:idx val="6"/>
          <c:order val="6"/>
          <c:tx>
            <c:strRef>
              <c:f>'WAGR Steels Results'!$A$116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Results'!$B$109:$I$109</c:f>
              <c:strCache>
                <c:ptCount val="8"/>
                <c:pt idx="0">
                  <c:v>Direct Disposal L.A.</c:v>
                </c:pt>
                <c:pt idx="1">
                  <c:v>Direct Disposal U.A.</c:v>
                </c:pt>
                <c:pt idx="2">
                  <c:v>Packaged Disposal L.A.</c:v>
                </c:pt>
                <c:pt idx="3">
                  <c:v>Packaged Disposal U.A.</c:v>
                </c:pt>
                <c:pt idx="4">
                  <c:v>Bulk Recycling L.A</c:v>
                </c:pt>
                <c:pt idx="5">
                  <c:v>Bulk Recycling U.A.</c:v>
                </c:pt>
                <c:pt idx="6">
                  <c:v>Containerised Recycling L.A.</c:v>
                </c:pt>
                <c:pt idx="7">
                  <c:v>Containerised Recycling U.A.</c:v>
                </c:pt>
              </c:strCache>
            </c:strRef>
          </c:cat>
          <c:val>
            <c:numRef>
              <c:f>'WAGR Steels Results'!$B$116:$I$116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9</c:v>
                </c:pt>
                <c:pt idx="4" formatCode="0.00E+00">
                  <c:v>4142</c:v>
                </c:pt>
                <c:pt idx="5" formatCode="0.00E+00">
                  <c:v>4142</c:v>
                </c:pt>
                <c:pt idx="6" formatCode="0.00E+00">
                  <c:v>3788</c:v>
                </c:pt>
                <c:pt idx="7" formatCode="0.00E+00">
                  <c:v>3788</c:v>
                </c:pt>
              </c:numCache>
            </c:numRef>
          </c:val>
        </c:ser>
        <c:ser>
          <c:idx val="7"/>
          <c:order val="7"/>
          <c:tx>
            <c:strRef>
              <c:f>'WAGR Steels Results'!$A$117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Results'!$B$109:$I$109</c:f>
              <c:strCache>
                <c:ptCount val="8"/>
                <c:pt idx="0">
                  <c:v>Direct Disposal L.A.</c:v>
                </c:pt>
                <c:pt idx="1">
                  <c:v>Direct Disposal U.A.</c:v>
                </c:pt>
                <c:pt idx="2">
                  <c:v>Packaged Disposal L.A.</c:v>
                </c:pt>
                <c:pt idx="3">
                  <c:v>Packaged Disposal U.A.</c:v>
                </c:pt>
                <c:pt idx="4">
                  <c:v>Bulk Recycling L.A</c:v>
                </c:pt>
                <c:pt idx="5">
                  <c:v>Bulk Recycling U.A.</c:v>
                </c:pt>
                <c:pt idx="6">
                  <c:v>Containerised Recycling L.A.</c:v>
                </c:pt>
                <c:pt idx="7">
                  <c:v>Containerised Recycling U.A.</c:v>
                </c:pt>
              </c:strCache>
            </c:strRef>
          </c:cat>
          <c:val>
            <c:numRef>
              <c:f>'WAGR Steels Results'!$B$117:$I$117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E+00">
                  <c:v>-111000</c:v>
                </c:pt>
                <c:pt idx="5" formatCode="0.00E+00">
                  <c:v>-111000</c:v>
                </c:pt>
                <c:pt idx="6" formatCode="0.00E+00">
                  <c:v>-111000</c:v>
                </c:pt>
                <c:pt idx="7" formatCode="0.00E+00">
                  <c:v>-111000</c:v>
                </c:pt>
              </c:numCache>
            </c:numRef>
          </c:val>
        </c:ser>
        <c:ser>
          <c:idx val="8"/>
          <c:order val="8"/>
          <c:tx>
            <c:strRef>
              <c:f>'WAGR Steels Results'!$A$118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D9858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Results'!$B$109:$I$109</c:f>
              <c:strCache>
                <c:ptCount val="8"/>
                <c:pt idx="0">
                  <c:v>Direct Disposal L.A.</c:v>
                </c:pt>
                <c:pt idx="1">
                  <c:v>Direct Disposal U.A.</c:v>
                </c:pt>
                <c:pt idx="2">
                  <c:v>Packaged Disposal L.A.</c:v>
                </c:pt>
                <c:pt idx="3">
                  <c:v>Packaged Disposal U.A.</c:v>
                </c:pt>
                <c:pt idx="4">
                  <c:v>Bulk Recycling L.A</c:v>
                </c:pt>
                <c:pt idx="5">
                  <c:v>Bulk Recycling U.A.</c:v>
                </c:pt>
                <c:pt idx="6">
                  <c:v>Containerised Recycling L.A.</c:v>
                </c:pt>
                <c:pt idx="7">
                  <c:v>Containerised Recycling U.A.</c:v>
                </c:pt>
              </c:strCache>
            </c:strRef>
          </c:cat>
          <c:val>
            <c:numRef>
              <c:f>'WAGR Steels Results'!$B$118:$I$118</c:f>
              <c:numCache>
                <c:formatCode>0.00E+00</c:formatCode>
                <c:ptCount val="8"/>
                <c:pt idx="0">
                  <c:v>101000</c:v>
                </c:pt>
                <c:pt idx="1">
                  <c:v>101000</c:v>
                </c:pt>
                <c:pt idx="2">
                  <c:v>94400</c:v>
                </c:pt>
                <c:pt idx="3">
                  <c:v>94400</c:v>
                </c:pt>
                <c:pt idx="4">
                  <c:v>5473</c:v>
                </c:pt>
                <c:pt idx="5">
                  <c:v>5473</c:v>
                </c:pt>
                <c:pt idx="6">
                  <c:v>5473</c:v>
                </c:pt>
                <c:pt idx="7">
                  <c:v>5473</c:v>
                </c:pt>
              </c:numCache>
            </c:numRef>
          </c:val>
        </c:ser>
        <c:ser>
          <c:idx val="9"/>
          <c:order val="9"/>
          <c:tx>
            <c:strRef>
              <c:f>'WAGR Steels Results'!$A$119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Results'!$B$109:$I$109</c:f>
              <c:strCache>
                <c:ptCount val="8"/>
                <c:pt idx="0">
                  <c:v>Direct Disposal L.A.</c:v>
                </c:pt>
                <c:pt idx="1">
                  <c:v>Direct Disposal U.A.</c:v>
                </c:pt>
                <c:pt idx="2">
                  <c:v>Packaged Disposal L.A.</c:v>
                </c:pt>
                <c:pt idx="3">
                  <c:v>Packaged Disposal U.A.</c:v>
                </c:pt>
                <c:pt idx="4">
                  <c:v>Bulk Recycling L.A</c:v>
                </c:pt>
                <c:pt idx="5">
                  <c:v>Bulk Recycling U.A.</c:v>
                </c:pt>
                <c:pt idx="6">
                  <c:v>Containerised Recycling L.A.</c:v>
                </c:pt>
                <c:pt idx="7">
                  <c:v>Containerised Recycling U.A.</c:v>
                </c:pt>
              </c:strCache>
            </c:strRef>
          </c:cat>
          <c:val>
            <c:numRef>
              <c:f>'WAGR Steels Results'!$B$119:$I$119</c:f>
              <c:numCache>
                <c:formatCode>0.00E+00</c:formatCode>
                <c:ptCount val="8"/>
                <c:pt idx="0">
                  <c:v>8260</c:v>
                </c:pt>
                <c:pt idx="1">
                  <c:v>8260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</c:numCache>
            </c:numRef>
          </c:val>
        </c:ser>
        <c:overlap val="100"/>
        <c:axId val="50444928"/>
        <c:axId val="50455296"/>
      </c:barChart>
      <c:catAx>
        <c:axId val="50444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Disposition Option</a:t>
                </a:r>
              </a:p>
            </c:rich>
          </c:tx>
          <c:layout>
            <c:manualLayout>
              <c:xMode val="edge"/>
              <c:yMode val="edge"/>
              <c:x val="0.40804607757363659"/>
              <c:y val="0.8879300311103284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0455296"/>
        <c:crosses val="autoZero"/>
        <c:auto val="1"/>
        <c:lblAlgn val="ctr"/>
        <c:lblOffset val="100"/>
        <c:tickLblSkip val="1"/>
        <c:tickMarkSkip val="1"/>
      </c:catAx>
      <c:valAx>
        <c:axId val="504552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Eco-Indicator99 Score (Pt)</a:t>
                </a:r>
              </a:p>
            </c:rich>
          </c:tx>
          <c:layout>
            <c:manualLayout>
              <c:xMode val="edge"/>
              <c:yMode val="edge"/>
              <c:x val="2.4904248080101096E-2"/>
              <c:y val="0.29741373382640268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44492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918744872365336"/>
          <c:y val="0.15384663538735535"/>
          <c:w val="0.12754170476196494"/>
          <c:h val="0.7051304121920454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9249448703009729E-2"/>
          <c:y val="7.9646189777615534E-2"/>
          <c:w val="0.64705850309682111"/>
          <c:h val="0.46902756202373602"/>
        </c:manualLayout>
      </c:layout>
      <c:barChart>
        <c:barDir val="col"/>
        <c:grouping val="clustered"/>
        <c:ser>
          <c:idx val="0"/>
          <c:order val="0"/>
          <c:tx>
            <c:strRef>
              <c:f>'WAGR Steels Results'!$B$124</c:f>
              <c:strCache>
                <c:ptCount val="1"/>
                <c:pt idx="0">
                  <c:v>Direct Disposal L.A.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Results'!$A$125:$A$135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Results'!$B$125:$B$135</c:f>
              <c:numCache>
                <c:formatCode>General</c:formatCode>
                <c:ptCount val="11"/>
                <c:pt idx="0">
                  <c:v>44.4</c:v>
                </c:pt>
                <c:pt idx="1">
                  <c:v>0.222</c:v>
                </c:pt>
                <c:pt idx="2">
                  <c:v>352</c:v>
                </c:pt>
                <c:pt idx="3">
                  <c:v>62.8</c:v>
                </c:pt>
                <c:pt idx="4">
                  <c:v>0.80700000000000005</c:v>
                </c:pt>
                <c:pt idx="5">
                  <c:v>1.9E-2</c:v>
                </c:pt>
                <c:pt idx="6">
                  <c:v>62.5</c:v>
                </c:pt>
                <c:pt idx="7">
                  <c:v>7.4</c:v>
                </c:pt>
                <c:pt idx="8">
                  <c:v>9</c:v>
                </c:pt>
                <c:pt idx="9">
                  <c:v>170</c:v>
                </c:pt>
                <c:pt idx="10">
                  <c:v>259</c:v>
                </c:pt>
              </c:numCache>
            </c:numRef>
          </c:val>
        </c:ser>
        <c:ser>
          <c:idx val="1"/>
          <c:order val="1"/>
          <c:tx>
            <c:strRef>
              <c:f>'WAGR Steels Results'!$C$124</c:f>
              <c:strCache>
                <c:ptCount val="1"/>
                <c:pt idx="0">
                  <c:v>Direct Disposal U.A.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Results'!$A$125:$A$135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Results'!$C$125:$C$135</c:f>
              <c:numCache>
                <c:formatCode>General</c:formatCode>
                <c:ptCount val="11"/>
                <c:pt idx="0">
                  <c:v>27.7</c:v>
                </c:pt>
                <c:pt idx="1">
                  <c:v>0.17</c:v>
                </c:pt>
                <c:pt idx="2">
                  <c:v>325</c:v>
                </c:pt>
                <c:pt idx="3">
                  <c:v>61</c:v>
                </c:pt>
                <c:pt idx="4">
                  <c:v>0.75</c:v>
                </c:pt>
                <c:pt idx="5">
                  <c:v>1.5800000000000002E-2</c:v>
                </c:pt>
                <c:pt idx="6">
                  <c:v>16.899999999999999</c:v>
                </c:pt>
                <c:pt idx="7">
                  <c:v>6.98</c:v>
                </c:pt>
                <c:pt idx="8">
                  <c:v>8.8000000000000007</c:v>
                </c:pt>
                <c:pt idx="9">
                  <c:v>72.400000000000006</c:v>
                </c:pt>
                <c:pt idx="10">
                  <c:v>201</c:v>
                </c:pt>
              </c:numCache>
            </c:numRef>
          </c:val>
        </c:ser>
        <c:ser>
          <c:idx val="2"/>
          <c:order val="2"/>
          <c:tx>
            <c:strRef>
              <c:f>'WAGR Steels Results'!$D$124</c:f>
              <c:strCache>
                <c:ptCount val="1"/>
                <c:pt idx="0">
                  <c:v>Packaged Disposal L.A.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Results'!$A$125:$A$135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Results'!$D$125:$D$135</c:f>
              <c:numCache>
                <c:formatCode>General</c:formatCode>
                <c:ptCount val="11"/>
                <c:pt idx="0">
                  <c:v>46.3</c:v>
                </c:pt>
                <c:pt idx="1">
                  <c:v>0.22600000000000001</c:v>
                </c:pt>
                <c:pt idx="2">
                  <c:v>379</c:v>
                </c:pt>
                <c:pt idx="3">
                  <c:v>66.400000000000006</c:v>
                </c:pt>
                <c:pt idx="4">
                  <c:v>0.78700000000000003</c:v>
                </c:pt>
                <c:pt idx="5">
                  <c:v>1.5299999999999999E-2</c:v>
                </c:pt>
                <c:pt idx="6">
                  <c:v>69.3</c:v>
                </c:pt>
                <c:pt idx="7">
                  <c:v>7.57</c:v>
                </c:pt>
                <c:pt idx="8">
                  <c:v>9.3699999999999992</c:v>
                </c:pt>
                <c:pt idx="9">
                  <c:v>187</c:v>
                </c:pt>
                <c:pt idx="10">
                  <c:v>255</c:v>
                </c:pt>
              </c:numCache>
            </c:numRef>
          </c:val>
        </c:ser>
        <c:ser>
          <c:idx val="3"/>
          <c:order val="3"/>
          <c:tx>
            <c:strRef>
              <c:f>'WAGR Steels Results'!$E$124</c:f>
              <c:strCache>
                <c:ptCount val="1"/>
                <c:pt idx="0">
                  <c:v>Packaged Disposal U.A.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Results'!$A$125:$A$135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Results'!$E$125:$E$135</c:f>
              <c:numCache>
                <c:formatCode>General</c:formatCode>
                <c:ptCount val="11"/>
                <c:pt idx="0">
                  <c:v>27</c:v>
                </c:pt>
                <c:pt idx="1">
                  <c:v>0.16500000000000001</c:v>
                </c:pt>
                <c:pt idx="2">
                  <c:v>347</c:v>
                </c:pt>
                <c:pt idx="3">
                  <c:v>64.3</c:v>
                </c:pt>
                <c:pt idx="4">
                  <c:v>0.66900000000000004</c:v>
                </c:pt>
                <c:pt idx="5">
                  <c:v>0.11600000000000001</c:v>
                </c:pt>
                <c:pt idx="6">
                  <c:v>16.600000000000001</c:v>
                </c:pt>
                <c:pt idx="7">
                  <c:v>7.08</c:v>
                </c:pt>
                <c:pt idx="8">
                  <c:v>8.7899999999999991</c:v>
                </c:pt>
                <c:pt idx="9">
                  <c:v>74.400000000000006</c:v>
                </c:pt>
                <c:pt idx="10">
                  <c:v>187</c:v>
                </c:pt>
              </c:numCache>
            </c:numRef>
          </c:val>
        </c:ser>
        <c:ser>
          <c:idx val="4"/>
          <c:order val="4"/>
          <c:tx>
            <c:strRef>
              <c:f>'WAGR Steels Results'!$F$124</c:f>
              <c:strCache>
                <c:ptCount val="1"/>
                <c:pt idx="0">
                  <c:v>Bulk Recycling L.A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Results'!$A$125:$A$135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Results'!$F$125:$F$135</c:f>
              <c:numCache>
                <c:formatCode>General</c:formatCode>
                <c:ptCount val="11"/>
                <c:pt idx="0">
                  <c:v>23.1</c:v>
                </c:pt>
                <c:pt idx="1">
                  <c:v>7.7600000000000002E-2</c:v>
                </c:pt>
                <c:pt idx="2">
                  <c:v>65.400000000000006</c:v>
                </c:pt>
                <c:pt idx="3">
                  <c:v>10.5</c:v>
                </c:pt>
                <c:pt idx="4">
                  <c:v>0.42799999999999999</c:v>
                </c:pt>
                <c:pt idx="5">
                  <c:v>6.1399999999999996E-3</c:v>
                </c:pt>
                <c:pt idx="6">
                  <c:v>49.4</c:v>
                </c:pt>
                <c:pt idx="7">
                  <c:v>1.68</c:v>
                </c:pt>
                <c:pt idx="8">
                  <c:v>1.62</c:v>
                </c:pt>
                <c:pt idx="9">
                  <c:v>128</c:v>
                </c:pt>
                <c:pt idx="10">
                  <c:v>97.4</c:v>
                </c:pt>
              </c:numCache>
            </c:numRef>
          </c:val>
        </c:ser>
        <c:ser>
          <c:idx val="5"/>
          <c:order val="5"/>
          <c:tx>
            <c:strRef>
              <c:f>'WAGR Steels Results'!$G$124</c:f>
              <c:strCache>
                <c:ptCount val="1"/>
                <c:pt idx="0">
                  <c:v>Bulk Recycling U.A.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Results'!$A$125:$A$135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Results'!$G$125:$G$135</c:f>
              <c:numCache>
                <c:formatCode>General</c:formatCode>
                <c:ptCount val="11"/>
                <c:pt idx="0">
                  <c:v>6.28</c:v>
                </c:pt>
                <c:pt idx="1">
                  <c:v>2.4400000000000002E-2</c:v>
                </c:pt>
                <c:pt idx="2">
                  <c:v>37.799999999999997</c:v>
                </c:pt>
                <c:pt idx="3">
                  <c:v>8.68</c:v>
                </c:pt>
                <c:pt idx="4">
                  <c:v>0.32500000000000001</c:v>
                </c:pt>
                <c:pt idx="5">
                  <c:v>2.9199999999999999E-3</c:v>
                </c:pt>
                <c:pt idx="6">
                  <c:v>3.36</c:v>
                </c:pt>
                <c:pt idx="7">
                  <c:v>1.25</c:v>
                </c:pt>
                <c:pt idx="8">
                  <c:v>1.1200000000000001</c:v>
                </c:pt>
                <c:pt idx="9">
                  <c:v>29.2</c:v>
                </c:pt>
                <c:pt idx="10">
                  <c:v>38.6</c:v>
                </c:pt>
              </c:numCache>
            </c:numRef>
          </c:val>
        </c:ser>
        <c:ser>
          <c:idx val="6"/>
          <c:order val="6"/>
          <c:tx>
            <c:strRef>
              <c:f>'WAGR Steels Results'!$H$124</c:f>
              <c:strCache>
                <c:ptCount val="1"/>
                <c:pt idx="0">
                  <c:v>Containerised Recycling L.A.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Results'!$A$125:$A$135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Results'!$H$125:$H$135</c:f>
              <c:numCache>
                <c:formatCode>General</c:formatCode>
                <c:ptCount val="11"/>
                <c:pt idx="0">
                  <c:v>23.2</c:v>
                </c:pt>
                <c:pt idx="1">
                  <c:v>8.1199999999999994E-2</c:v>
                </c:pt>
                <c:pt idx="2">
                  <c:v>67.099999999999994</c:v>
                </c:pt>
                <c:pt idx="3">
                  <c:v>11.1</c:v>
                </c:pt>
                <c:pt idx="4">
                  <c:v>0.43</c:v>
                </c:pt>
                <c:pt idx="5">
                  <c:v>6.7000000000000002E-3</c:v>
                </c:pt>
                <c:pt idx="6">
                  <c:v>49.5</c:v>
                </c:pt>
                <c:pt idx="7">
                  <c:v>1.81</c:v>
                </c:pt>
                <c:pt idx="8">
                  <c:v>1.7</c:v>
                </c:pt>
                <c:pt idx="9">
                  <c:v>128</c:v>
                </c:pt>
                <c:pt idx="10">
                  <c:v>104</c:v>
                </c:pt>
              </c:numCache>
            </c:numRef>
          </c:val>
        </c:ser>
        <c:ser>
          <c:idx val="7"/>
          <c:order val="7"/>
          <c:tx>
            <c:strRef>
              <c:f>'WAGR Steels Results'!$I$124</c:f>
              <c:strCache>
                <c:ptCount val="1"/>
                <c:pt idx="0">
                  <c:v>Containerised Recycling U.A.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Results'!$A$125:$A$135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Results'!$I$125:$I$135</c:f>
              <c:numCache>
                <c:formatCode>General</c:formatCode>
                <c:ptCount val="11"/>
                <c:pt idx="0">
                  <c:v>6.34</c:v>
                </c:pt>
                <c:pt idx="1">
                  <c:v>2.8000000000000001E-2</c:v>
                </c:pt>
                <c:pt idx="2">
                  <c:v>39.5</c:v>
                </c:pt>
                <c:pt idx="3">
                  <c:v>9.25</c:v>
                </c:pt>
                <c:pt idx="4">
                  <c:v>0.32700000000000001</c:v>
                </c:pt>
                <c:pt idx="5">
                  <c:v>3.5000000000000001E-3</c:v>
                </c:pt>
                <c:pt idx="6">
                  <c:v>3.47</c:v>
                </c:pt>
                <c:pt idx="7">
                  <c:v>1.38</c:v>
                </c:pt>
                <c:pt idx="8">
                  <c:v>1.19</c:v>
                </c:pt>
                <c:pt idx="9">
                  <c:v>29.2</c:v>
                </c:pt>
                <c:pt idx="10">
                  <c:v>45.1</c:v>
                </c:pt>
              </c:numCache>
            </c:numRef>
          </c:val>
        </c:ser>
        <c:axId val="66636416"/>
        <c:axId val="66650880"/>
      </c:barChart>
      <c:catAx>
        <c:axId val="666364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34279903174647341"/>
              <c:y val="0.8805326000916552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6650880"/>
        <c:crosses val="autoZero"/>
        <c:auto val="1"/>
        <c:lblAlgn val="ctr"/>
        <c:lblOffset val="100"/>
        <c:tickLblSkip val="1"/>
        <c:tickMarkSkip val="1"/>
      </c:catAx>
      <c:valAx>
        <c:axId val="666508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6369142019791694E-2"/>
              <c:y val="0.1415933008373953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63641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190607416031841"/>
          <c:y val="0.17142910289280411"/>
          <c:w val="0.1816581612002611"/>
          <c:h val="0.4095250791328098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4230026265355797"/>
          <c:y val="9.0909266360830909E-2"/>
          <c:w val="0.5886942372791012"/>
          <c:h val="0.48616694619053002"/>
        </c:manualLayout>
      </c:layout>
      <c:barChart>
        <c:barDir val="col"/>
        <c:grouping val="clustered"/>
        <c:ser>
          <c:idx val="0"/>
          <c:order val="0"/>
          <c:tx>
            <c:strRef>
              <c:f>'WAGR Steels Results'!$B$138</c:f>
              <c:strCache>
                <c:ptCount val="1"/>
                <c:pt idx="0">
                  <c:v>Direct Disposal L.A.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Results'!$A$139:$A$149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Results'!$B$139:$B$149</c:f>
              <c:numCache>
                <c:formatCode>General</c:formatCode>
                <c:ptCount val="11"/>
                <c:pt idx="0" formatCode="0.00E+00">
                  <c:v>17800</c:v>
                </c:pt>
                <c:pt idx="1">
                  <c:v>88.9</c:v>
                </c:pt>
                <c:pt idx="2" formatCode="0.00E+00">
                  <c:v>141000</c:v>
                </c:pt>
                <c:pt idx="3" formatCode="0.00E+00">
                  <c:v>25100</c:v>
                </c:pt>
                <c:pt idx="4">
                  <c:v>323</c:v>
                </c:pt>
                <c:pt idx="5">
                  <c:v>7.61</c:v>
                </c:pt>
                <c:pt idx="6" formatCode="0.00E+00">
                  <c:v>25000</c:v>
                </c:pt>
                <c:pt idx="7" formatCode="0.00E+00">
                  <c:v>2960</c:v>
                </c:pt>
                <c:pt idx="8" formatCode="0.00E+00">
                  <c:v>3600</c:v>
                </c:pt>
                <c:pt idx="9" formatCode="0.00E+00">
                  <c:v>34000</c:v>
                </c:pt>
                <c:pt idx="10" formatCode="0.00E+00">
                  <c:v>51800</c:v>
                </c:pt>
              </c:numCache>
            </c:numRef>
          </c:val>
        </c:ser>
        <c:ser>
          <c:idx val="1"/>
          <c:order val="1"/>
          <c:tx>
            <c:strRef>
              <c:f>'WAGR Steels Results'!$C$138</c:f>
              <c:strCache>
                <c:ptCount val="1"/>
                <c:pt idx="0">
                  <c:v>Direct Disposal U.A.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Results'!$A$139:$A$149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Results'!$C$139:$C$149</c:f>
              <c:numCache>
                <c:formatCode>General</c:formatCode>
                <c:ptCount val="11"/>
                <c:pt idx="0" formatCode="0.00E+00">
                  <c:v>11100</c:v>
                </c:pt>
                <c:pt idx="1">
                  <c:v>67.8</c:v>
                </c:pt>
                <c:pt idx="2" formatCode="0.00E+00">
                  <c:v>130000</c:v>
                </c:pt>
                <c:pt idx="3" formatCode="0.00E+00">
                  <c:v>24400</c:v>
                </c:pt>
                <c:pt idx="4">
                  <c:v>282</c:v>
                </c:pt>
                <c:pt idx="5">
                  <c:v>6.33</c:v>
                </c:pt>
                <c:pt idx="6" formatCode="0.00E+00">
                  <c:v>6750</c:v>
                </c:pt>
                <c:pt idx="7" formatCode="0.00E+00">
                  <c:v>2790</c:v>
                </c:pt>
                <c:pt idx="8" formatCode="0.00E+00">
                  <c:v>3400</c:v>
                </c:pt>
                <c:pt idx="9" formatCode="0.00E+00">
                  <c:v>14500</c:v>
                </c:pt>
                <c:pt idx="10" formatCode="0.00E+00">
                  <c:v>40100</c:v>
                </c:pt>
              </c:numCache>
            </c:numRef>
          </c:val>
        </c:ser>
        <c:ser>
          <c:idx val="2"/>
          <c:order val="2"/>
          <c:tx>
            <c:strRef>
              <c:f>'WAGR Steels Results'!$D$138</c:f>
              <c:strCache>
                <c:ptCount val="1"/>
                <c:pt idx="0">
                  <c:v>Packaged Disposal L.A.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Results'!$A$139:$A$149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Results'!$D$139:$D$149</c:f>
              <c:numCache>
                <c:formatCode>General</c:formatCode>
                <c:ptCount val="11"/>
                <c:pt idx="0" formatCode="0.00E+00">
                  <c:v>18500</c:v>
                </c:pt>
                <c:pt idx="1">
                  <c:v>90.3</c:v>
                </c:pt>
                <c:pt idx="2" formatCode="0.00E+00">
                  <c:v>151000</c:v>
                </c:pt>
                <c:pt idx="3" formatCode="0.00E+00">
                  <c:v>26500</c:v>
                </c:pt>
                <c:pt idx="4">
                  <c:v>315</c:v>
                </c:pt>
                <c:pt idx="5">
                  <c:v>6.12</c:v>
                </c:pt>
                <c:pt idx="6" formatCode="0.00E+00">
                  <c:v>27700</c:v>
                </c:pt>
                <c:pt idx="7" formatCode="0.00E+00">
                  <c:v>3030</c:v>
                </c:pt>
                <c:pt idx="8" formatCode="0.00E+00">
                  <c:v>3750</c:v>
                </c:pt>
                <c:pt idx="9" formatCode="0.00E+00">
                  <c:v>37500</c:v>
                </c:pt>
                <c:pt idx="10" formatCode="0.00E+00">
                  <c:v>51000</c:v>
                </c:pt>
              </c:numCache>
            </c:numRef>
          </c:val>
        </c:ser>
        <c:ser>
          <c:idx val="3"/>
          <c:order val="3"/>
          <c:tx>
            <c:strRef>
              <c:f>'WAGR Steels Results'!$E$138</c:f>
              <c:strCache>
                <c:ptCount val="1"/>
                <c:pt idx="0">
                  <c:v>Packaged Disposal U.A.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Results'!$A$139:$A$149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Results'!$E$139:$E$149</c:f>
              <c:numCache>
                <c:formatCode>General</c:formatCode>
                <c:ptCount val="11"/>
                <c:pt idx="0" formatCode="0.00E+00">
                  <c:v>10800</c:v>
                </c:pt>
                <c:pt idx="1">
                  <c:v>65.900000000000006</c:v>
                </c:pt>
                <c:pt idx="2" formatCode="0.00E+00">
                  <c:v>139000</c:v>
                </c:pt>
                <c:pt idx="3" formatCode="0.00E+00">
                  <c:v>25700</c:v>
                </c:pt>
                <c:pt idx="4">
                  <c:v>268</c:v>
                </c:pt>
                <c:pt idx="5">
                  <c:v>4.6500000000000004</c:v>
                </c:pt>
                <c:pt idx="6" formatCode="0.00E+00">
                  <c:v>6620</c:v>
                </c:pt>
                <c:pt idx="7" formatCode="0.00E+00">
                  <c:v>2830</c:v>
                </c:pt>
                <c:pt idx="8" formatCode="0.00E+00">
                  <c:v>3520</c:v>
                </c:pt>
                <c:pt idx="9" formatCode="0.00E+00">
                  <c:v>14900</c:v>
                </c:pt>
                <c:pt idx="10" formatCode="0.00E+00">
                  <c:v>37500</c:v>
                </c:pt>
              </c:numCache>
            </c:numRef>
          </c:val>
        </c:ser>
        <c:ser>
          <c:idx val="4"/>
          <c:order val="4"/>
          <c:tx>
            <c:strRef>
              <c:f>'WAGR Steels Results'!$F$138</c:f>
              <c:strCache>
                <c:ptCount val="1"/>
                <c:pt idx="0">
                  <c:v>Bulk Recycling L.A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Results'!$A$139:$A$149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Results'!$F$139:$F$149</c:f>
              <c:numCache>
                <c:formatCode>General</c:formatCode>
                <c:ptCount val="11"/>
                <c:pt idx="0" formatCode="0.00E+00">
                  <c:v>9250</c:v>
                </c:pt>
                <c:pt idx="1">
                  <c:v>31</c:v>
                </c:pt>
                <c:pt idx="2" formatCode="0.00E+00">
                  <c:v>26200</c:v>
                </c:pt>
                <c:pt idx="3" formatCode="0.00E+00">
                  <c:v>4200</c:v>
                </c:pt>
                <c:pt idx="4">
                  <c:v>171</c:v>
                </c:pt>
                <c:pt idx="5">
                  <c:v>2.46</c:v>
                </c:pt>
                <c:pt idx="6" formatCode="0.00E+00">
                  <c:v>19800</c:v>
                </c:pt>
                <c:pt idx="7">
                  <c:v>671</c:v>
                </c:pt>
                <c:pt idx="8">
                  <c:v>650</c:v>
                </c:pt>
                <c:pt idx="9" formatCode="0.00E+00">
                  <c:v>25500</c:v>
                </c:pt>
                <c:pt idx="10" formatCode="0.00E+00">
                  <c:v>19500</c:v>
                </c:pt>
              </c:numCache>
            </c:numRef>
          </c:val>
        </c:ser>
        <c:ser>
          <c:idx val="5"/>
          <c:order val="5"/>
          <c:tx>
            <c:strRef>
              <c:f>'WAGR Steels Results'!$G$138</c:f>
              <c:strCache>
                <c:ptCount val="1"/>
                <c:pt idx="0">
                  <c:v>Bulk Recycling U.A.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Results'!$A$139:$A$149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Results'!$G$139:$G$149</c:f>
              <c:numCache>
                <c:formatCode>General</c:formatCode>
                <c:ptCount val="11"/>
                <c:pt idx="0" formatCode="0.00E+00">
                  <c:v>2510</c:v>
                </c:pt>
                <c:pt idx="1">
                  <c:v>9.77</c:v>
                </c:pt>
                <c:pt idx="2" formatCode="0.00E+00">
                  <c:v>15100</c:v>
                </c:pt>
                <c:pt idx="3" formatCode="0.00E+00">
                  <c:v>3470</c:v>
                </c:pt>
                <c:pt idx="4">
                  <c:v>130</c:v>
                </c:pt>
                <c:pt idx="5">
                  <c:v>1.17</c:v>
                </c:pt>
                <c:pt idx="6" formatCode="0.00E+00">
                  <c:v>1340</c:v>
                </c:pt>
                <c:pt idx="7">
                  <c:v>499</c:v>
                </c:pt>
                <c:pt idx="8">
                  <c:v>448</c:v>
                </c:pt>
                <c:pt idx="9" formatCode="0.00E+00">
                  <c:v>5830</c:v>
                </c:pt>
                <c:pt idx="10" formatCode="0.00E+00">
                  <c:v>7720</c:v>
                </c:pt>
              </c:numCache>
            </c:numRef>
          </c:val>
        </c:ser>
        <c:ser>
          <c:idx val="6"/>
          <c:order val="6"/>
          <c:tx>
            <c:strRef>
              <c:f>'WAGR Steels Results'!$H$138</c:f>
              <c:strCache>
                <c:ptCount val="1"/>
                <c:pt idx="0">
                  <c:v>Containerised Recycling L.A.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Results'!$A$139:$A$149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Results'!$H$139:$H$149</c:f>
              <c:numCache>
                <c:formatCode>General</c:formatCode>
                <c:ptCount val="11"/>
                <c:pt idx="0" formatCode="0.00E+00">
                  <c:v>9280</c:v>
                </c:pt>
                <c:pt idx="1">
                  <c:v>32.5</c:v>
                </c:pt>
                <c:pt idx="2" formatCode="0.00E+00">
                  <c:v>26900</c:v>
                </c:pt>
                <c:pt idx="3" formatCode="0.00E+00">
                  <c:v>4430</c:v>
                </c:pt>
                <c:pt idx="4">
                  <c:v>172</c:v>
                </c:pt>
                <c:pt idx="5">
                  <c:v>2.69</c:v>
                </c:pt>
                <c:pt idx="6" formatCode="0.00E+00">
                  <c:v>19800</c:v>
                </c:pt>
                <c:pt idx="7">
                  <c:v>725</c:v>
                </c:pt>
                <c:pt idx="8">
                  <c:v>678</c:v>
                </c:pt>
                <c:pt idx="9" formatCode="0.00E+00">
                  <c:v>25500</c:v>
                </c:pt>
                <c:pt idx="10" formatCode="0.00E+00">
                  <c:v>20800</c:v>
                </c:pt>
              </c:numCache>
            </c:numRef>
          </c:val>
        </c:ser>
        <c:ser>
          <c:idx val="7"/>
          <c:order val="7"/>
          <c:tx>
            <c:strRef>
              <c:f>'WAGR Steels Results'!$I$138</c:f>
              <c:strCache>
                <c:ptCount val="1"/>
                <c:pt idx="0">
                  <c:v>Containerised Recycling U.A.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Results'!$A$139:$A$149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Results'!$I$139:$I$149</c:f>
              <c:numCache>
                <c:formatCode>General</c:formatCode>
                <c:ptCount val="11"/>
                <c:pt idx="0" formatCode="0.00E+00">
                  <c:v>2540</c:v>
                </c:pt>
                <c:pt idx="1">
                  <c:v>11.2</c:v>
                </c:pt>
                <c:pt idx="2" formatCode="0.00E+00">
                  <c:v>15800</c:v>
                </c:pt>
                <c:pt idx="3" formatCode="0.00E+00">
                  <c:v>3730</c:v>
                </c:pt>
                <c:pt idx="4">
                  <c:v>131</c:v>
                </c:pt>
                <c:pt idx="5">
                  <c:v>1.4</c:v>
                </c:pt>
                <c:pt idx="6" formatCode="0.00E+00">
                  <c:v>1390</c:v>
                </c:pt>
                <c:pt idx="7">
                  <c:v>553</c:v>
                </c:pt>
                <c:pt idx="8">
                  <c:v>476</c:v>
                </c:pt>
                <c:pt idx="9" formatCode="0.00E+00">
                  <c:v>5850</c:v>
                </c:pt>
                <c:pt idx="10" formatCode="0.00E+00">
                  <c:v>9020</c:v>
                </c:pt>
              </c:numCache>
            </c:numRef>
          </c:val>
        </c:ser>
        <c:axId val="66726144"/>
        <c:axId val="66736512"/>
      </c:barChart>
      <c:catAx>
        <c:axId val="66726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36470549767137694"/>
              <c:y val="0.8897626475935790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6736512"/>
        <c:crosses val="autoZero"/>
        <c:auto val="1"/>
        <c:lblAlgn val="ctr"/>
        <c:lblOffset val="100"/>
        <c:tickLblSkip val="1"/>
        <c:tickMarkSkip val="1"/>
      </c:catAx>
      <c:valAx>
        <c:axId val="667365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Eco-Indicator99 Score (Pt)</a:t>
                </a:r>
              </a:p>
            </c:rich>
          </c:tx>
          <c:layout>
            <c:manualLayout>
              <c:xMode val="edge"/>
              <c:yMode val="edge"/>
              <c:x val="2.549024806242654E-2"/>
              <c:y val="8.26773068460782E-2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72614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234401349072512"/>
          <c:y val="9.4339622641509441E-2"/>
          <c:w val="0.13659359190556492"/>
          <c:h val="0.4690026954177897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50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4173231752226007"/>
          <c:y val="8.1632531041935838E-2"/>
          <c:w val="0.65354346413042308"/>
          <c:h val="0.47346868004322806"/>
        </c:manualLayout>
      </c:layout>
      <c:barChart>
        <c:barDir val="col"/>
        <c:grouping val="clustered"/>
        <c:ser>
          <c:idx val="0"/>
          <c:order val="0"/>
          <c:tx>
            <c:strRef>
              <c:f>'WAGR Steels Results'!$B$154</c:f>
              <c:strCache>
                <c:ptCount val="1"/>
                <c:pt idx="0">
                  <c:v>Direct Disposal L.A.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Results'!$A$155:$A$165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Results'!$B$155:$B$165</c:f>
              <c:numCache>
                <c:formatCode>0.00E+00</c:formatCode>
                <c:ptCount val="11"/>
                <c:pt idx="0">
                  <c:v>14799.999999999998</c:v>
                </c:pt>
                <c:pt idx="1">
                  <c:v>74</c:v>
                </c:pt>
                <c:pt idx="2">
                  <c:v>117333.33333333333</c:v>
                </c:pt>
                <c:pt idx="3">
                  <c:v>20933.333333333332</c:v>
                </c:pt>
                <c:pt idx="4">
                  <c:v>269</c:v>
                </c:pt>
                <c:pt idx="5">
                  <c:v>6.333333333333333</c:v>
                </c:pt>
                <c:pt idx="6">
                  <c:v>20833.333333333332</c:v>
                </c:pt>
                <c:pt idx="7">
                  <c:v>2466.6666666666665</c:v>
                </c:pt>
                <c:pt idx="8">
                  <c:v>3000</c:v>
                </c:pt>
                <c:pt idx="9">
                  <c:v>56666.666666666664</c:v>
                </c:pt>
                <c:pt idx="10">
                  <c:v>86333.333333333328</c:v>
                </c:pt>
              </c:numCache>
            </c:numRef>
          </c:val>
        </c:ser>
        <c:ser>
          <c:idx val="1"/>
          <c:order val="1"/>
          <c:tx>
            <c:strRef>
              <c:f>'WAGR Steels Results'!$C$154</c:f>
              <c:strCache>
                <c:ptCount val="1"/>
                <c:pt idx="0">
                  <c:v>Direct Disposal U.A.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Results'!$A$155:$A$165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Results'!$C$155:$C$165</c:f>
              <c:numCache>
                <c:formatCode>0.00E+00</c:formatCode>
                <c:ptCount val="11"/>
                <c:pt idx="0">
                  <c:v>9233.3333333333321</c:v>
                </c:pt>
                <c:pt idx="1">
                  <c:v>56.666666666666664</c:v>
                </c:pt>
                <c:pt idx="2">
                  <c:v>108333.33333333333</c:v>
                </c:pt>
                <c:pt idx="3">
                  <c:v>20333.333333333332</c:v>
                </c:pt>
                <c:pt idx="4">
                  <c:v>250</c:v>
                </c:pt>
                <c:pt idx="5">
                  <c:v>5.2666666666666666</c:v>
                </c:pt>
                <c:pt idx="6">
                  <c:v>5633.3333333333321</c:v>
                </c:pt>
                <c:pt idx="7">
                  <c:v>2326.6666666666665</c:v>
                </c:pt>
                <c:pt idx="8">
                  <c:v>2933.3333333333335</c:v>
                </c:pt>
                <c:pt idx="9">
                  <c:v>24133.333333333332</c:v>
                </c:pt>
                <c:pt idx="10">
                  <c:v>67000</c:v>
                </c:pt>
              </c:numCache>
            </c:numRef>
          </c:val>
        </c:ser>
        <c:ser>
          <c:idx val="2"/>
          <c:order val="2"/>
          <c:tx>
            <c:strRef>
              <c:f>'WAGR Steels Results'!$D$154</c:f>
              <c:strCache>
                <c:ptCount val="1"/>
                <c:pt idx="0">
                  <c:v>Packaged Disposal L.A.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Results'!$A$155:$A$165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Results'!$D$155:$D$165</c:f>
              <c:numCache>
                <c:formatCode>0.00E+00</c:formatCode>
                <c:ptCount val="11"/>
                <c:pt idx="0">
                  <c:v>15433.333333333332</c:v>
                </c:pt>
                <c:pt idx="1">
                  <c:v>75.333333333333329</c:v>
                </c:pt>
                <c:pt idx="2">
                  <c:v>126333.33333333333</c:v>
                </c:pt>
                <c:pt idx="3">
                  <c:v>22133.333333333336</c:v>
                </c:pt>
                <c:pt idx="4">
                  <c:v>262.33333333333331</c:v>
                </c:pt>
                <c:pt idx="5">
                  <c:v>5.0999999999999996</c:v>
                </c:pt>
                <c:pt idx="6">
                  <c:v>23099.999999999996</c:v>
                </c:pt>
                <c:pt idx="7">
                  <c:v>2523.3333333333335</c:v>
                </c:pt>
                <c:pt idx="8">
                  <c:v>3123.333333333333</c:v>
                </c:pt>
                <c:pt idx="9">
                  <c:v>62333.333333333328</c:v>
                </c:pt>
                <c:pt idx="10">
                  <c:v>85000</c:v>
                </c:pt>
              </c:numCache>
            </c:numRef>
          </c:val>
        </c:ser>
        <c:ser>
          <c:idx val="3"/>
          <c:order val="3"/>
          <c:tx>
            <c:strRef>
              <c:f>'WAGR Steels Results'!$E$154</c:f>
              <c:strCache>
                <c:ptCount val="1"/>
                <c:pt idx="0">
                  <c:v>Packaged Disposal U.A.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Results'!$A$155:$A$165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Results'!$E$155:$E$165</c:f>
              <c:numCache>
                <c:formatCode>0.00E+00</c:formatCode>
                <c:ptCount val="11"/>
                <c:pt idx="0">
                  <c:v>9000</c:v>
                </c:pt>
                <c:pt idx="1">
                  <c:v>55</c:v>
                </c:pt>
                <c:pt idx="2">
                  <c:v>115666.66666666666</c:v>
                </c:pt>
                <c:pt idx="3">
                  <c:v>21433.333333333332</c:v>
                </c:pt>
                <c:pt idx="4">
                  <c:v>223</c:v>
                </c:pt>
                <c:pt idx="5">
                  <c:v>38.666666666666664</c:v>
                </c:pt>
                <c:pt idx="6">
                  <c:v>5533.3333333333339</c:v>
                </c:pt>
                <c:pt idx="7">
                  <c:v>2360</c:v>
                </c:pt>
                <c:pt idx="8">
                  <c:v>2929.9999999999995</c:v>
                </c:pt>
                <c:pt idx="9">
                  <c:v>24800</c:v>
                </c:pt>
                <c:pt idx="10">
                  <c:v>62333.333333333328</c:v>
                </c:pt>
              </c:numCache>
            </c:numRef>
          </c:val>
        </c:ser>
        <c:ser>
          <c:idx val="4"/>
          <c:order val="4"/>
          <c:tx>
            <c:strRef>
              <c:f>'WAGR Steels Results'!$F$154</c:f>
              <c:strCache>
                <c:ptCount val="1"/>
                <c:pt idx="0">
                  <c:v>Bulk Recycling L.A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Results'!$A$155:$A$165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Results'!$F$155:$F$165</c:f>
              <c:numCache>
                <c:formatCode>0.00E+00</c:formatCode>
                <c:ptCount val="11"/>
                <c:pt idx="0">
                  <c:v>7700</c:v>
                </c:pt>
                <c:pt idx="1">
                  <c:v>25.866666666666667</c:v>
                </c:pt>
                <c:pt idx="2">
                  <c:v>21800</c:v>
                </c:pt>
                <c:pt idx="3">
                  <c:v>3500</c:v>
                </c:pt>
                <c:pt idx="4">
                  <c:v>142.66666666666666</c:v>
                </c:pt>
                <c:pt idx="5">
                  <c:v>2.0466666666666664</c:v>
                </c:pt>
                <c:pt idx="6">
                  <c:v>16466.666666666664</c:v>
                </c:pt>
                <c:pt idx="7">
                  <c:v>560</c:v>
                </c:pt>
                <c:pt idx="8">
                  <c:v>540</c:v>
                </c:pt>
                <c:pt idx="9">
                  <c:v>42666.666666666664</c:v>
                </c:pt>
                <c:pt idx="10">
                  <c:v>32466.666666666668</c:v>
                </c:pt>
              </c:numCache>
            </c:numRef>
          </c:val>
        </c:ser>
        <c:ser>
          <c:idx val="5"/>
          <c:order val="5"/>
          <c:tx>
            <c:strRef>
              <c:f>'WAGR Steels Results'!$G$154</c:f>
              <c:strCache>
                <c:ptCount val="1"/>
                <c:pt idx="0">
                  <c:v>Bulk Recycling U.A.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Results'!$A$155:$A$165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Results'!$G$155:$G$165</c:f>
              <c:numCache>
                <c:formatCode>0.00E+00</c:formatCode>
                <c:ptCount val="11"/>
                <c:pt idx="0">
                  <c:v>2093.3333333333335</c:v>
                </c:pt>
                <c:pt idx="1">
                  <c:v>8.1333333333333329</c:v>
                </c:pt>
                <c:pt idx="2">
                  <c:v>12599.999999999998</c:v>
                </c:pt>
                <c:pt idx="3">
                  <c:v>2893.333333333333</c:v>
                </c:pt>
                <c:pt idx="4">
                  <c:v>108.33333333333333</c:v>
                </c:pt>
                <c:pt idx="5">
                  <c:v>0.97333333333333327</c:v>
                </c:pt>
                <c:pt idx="6">
                  <c:v>1120</c:v>
                </c:pt>
                <c:pt idx="7">
                  <c:v>416.66666666666663</c:v>
                </c:pt>
                <c:pt idx="8">
                  <c:v>373.33333333333337</c:v>
                </c:pt>
                <c:pt idx="9">
                  <c:v>9733.3333333333321</c:v>
                </c:pt>
                <c:pt idx="10">
                  <c:v>12866.666666666666</c:v>
                </c:pt>
              </c:numCache>
            </c:numRef>
          </c:val>
        </c:ser>
        <c:ser>
          <c:idx val="6"/>
          <c:order val="6"/>
          <c:tx>
            <c:strRef>
              <c:f>'WAGR Steels Results'!$H$154</c:f>
              <c:strCache>
                <c:ptCount val="1"/>
                <c:pt idx="0">
                  <c:v>Containerised Recycling L.A.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Results'!$A$155:$A$165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Results'!$H$155:$H$165</c:f>
              <c:numCache>
                <c:formatCode>0.00E+00</c:formatCode>
                <c:ptCount val="11"/>
                <c:pt idx="0">
                  <c:v>7733.333333333333</c:v>
                </c:pt>
                <c:pt idx="1">
                  <c:v>27.066666666666663</c:v>
                </c:pt>
                <c:pt idx="2">
                  <c:v>22366.666666666664</c:v>
                </c:pt>
                <c:pt idx="3">
                  <c:v>3699.9999999999995</c:v>
                </c:pt>
                <c:pt idx="4">
                  <c:v>143.33333333333331</c:v>
                </c:pt>
                <c:pt idx="5">
                  <c:v>2.2333333333333334</c:v>
                </c:pt>
                <c:pt idx="6">
                  <c:v>16500</c:v>
                </c:pt>
                <c:pt idx="7">
                  <c:v>603.33333333333337</c:v>
                </c:pt>
                <c:pt idx="8">
                  <c:v>566.66666666666663</c:v>
                </c:pt>
                <c:pt idx="9">
                  <c:v>42666.666666666664</c:v>
                </c:pt>
                <c:pt idx="10">
                  <c:v>34666.666666666664</c:v>
                </c:pt>
              </c:numCache>
            </c:numRef>
          </c:val>
        </c:ser>
        <c:ser>
          <c:idx val="7"/>
          <c:order val="7"/>
          <c:tx>
            <c:strRef>
              <c:f>'WAGR Steels Results'!$I$154</c:f>
              <c:strCache>
                <c:ptCount val="1"/>
                <c:pt idx="0">
                  <c:v>Containerised Recycling U.A.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Results'!$A$155:$A$165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Steels Results'!$I$155:$I$165</c:f>
              <c:numCache>
                <c:formatCode>0.00E+00</c:formatCode>
                <c:ptCount val="11"/>
                <c:pt idx="0">
                  <c:v>2113.333333333333</c:v>
                </c:pt>
                <c:pt idx="1">
                  <c:v>9.3333333333333321</c:v>
                </c:pt>
                <c:pt idx="2">
                  <c:v>13166.666666666666</c:v>
                </c:pt>
                <c:pt idx="3">
                  <c:v>3083.333333333333</c:v>
                </c:pt>
                <c:pt idx="4">
                  <c:v>109</c:v>
                </c:pt>
                <c:pt idx="5">
                  <c:v>1.1666666666666665</c:v>
                </c:pt>
                <c:pt idx="6">
                  <c:v>1156.6666666666667</c:v>
                </c:pt>
                <c:pt idx="7">
                  <c:v>459.99999999999994</c:v>
                </c:pt>
                <c:pt idx="8">
                  <c:v>396.66666666666663</c:v>
                </c:pt>
                <c:pt idx="9">
                  <c:v>9733.3333333333321</c:v>
                </c:pt>
                <c:pt idx="10">
                  <c:v>15033.333333333332</c:v>
                </c:pt>
              </c:numCache>
            </c:numRef>
          </c:val>
        </c:ser>
        <c:axId val="66795392"/>
        <c:axId val="66813952"/>
      </c:barChart>
      <c:catAx>
        <c:axId val="667953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39405946074922454"/>
              <c:y val="0.8911303833499686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6813952"/>
        <c:crosses val="autoZero"/>
        <c:auto val="1"/>
        <c:lblAlgn val="ctr"/>
        <c:lblOffset val="100"/>
        <c:tickLblSkip val="1"/>
        <c:tickMarkSkip val="1"/>
      </c:catAx>
      <c:valAx>
        <c:axId val="668139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Eco-Indicator99 Score (Pt)</a:t>
                </a:r>
              </a:p>
            </c:rich>
          </c:tx>
          <c:layout>
            <c:manualLayout>
              <c:xMode val="edge"/>
              <c:yMode val="edge"/>
              <c:x val="2.376234788833214E-2"/>
              <c:y val="8.0645299619237748E-2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79539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51380797794281"/>
          <c:y val="7.6056442639253194E-2"/>
          <c:w val="0.14025525859385424"/>
          <c:h val="0.5971839199822842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50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Percentage increase in WAGR Boiler Total Life Cycle Results using a Uniform Weighting Factor</a:t>
            </a:r>
          </a:p>
        </c:rich>
      </c:tx>
      <c:layout>
        <c:manualLayout>
          <c:xMode val="edge"/>
          <c:yMode val="edge"/>
          <c:x val="0.18695679433513435"/>
          <c:y val="4.888900751812803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322569805769302"/>
          <c:y val="0.20779176856785903"/>
          <c:w val="0.87526789811418615"/>
          <c:h val="0.45887348892068908"/>
        </c:manualLayout>
      </c:layout>
      <c:barChart>
        <c:barDir val="col"/>
        <c:grouping val="clustered"/>
        <c:ser>
          <c:idx val="0"/>
          <c:order val="0"/>
          <c:tx>
            <c:strRef>
              <c:f>'WAGR Steels Results'!$A$169</c:f>
              <c:strCache>
                <c:ptCount val="1"/>
                <c:pt idx="0">
                  <c:v>Increase (%)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'WAGR Steels Results'!$B$168:$I$168</c:f>
              <c:strCache>
                <c:ptCount val="8"/>
                <c:pt idx="0">
                  <c:v>Direct Disposal L.A.</c:v>
                </c:pt>
                <c:pt idx="1">
                  <c:v>Direct Disposal U.A.</c:v>
                </c:pt>
                <c:pt idx="2">
                  <c:v>Packaged Disposal L.A.</c:v>
                </c:pt>
                <c:pt idx="3">
                  <c:v>Packaged Disposal U.A.</c:v>
                </c:pt>
                <c:pt idx="4">
                  <c:v>Bulk Recycling L.A</c:v>
                </c:pt>
                <c:pt idx="5">
                  <c:v>Bulk Recycling U.A.</c:v>
                </c:pt>
                <c:pt idx="6">
                  <c:v>Containerised Recycling L.A.</c:v>
                </c:pt>
                <c:pt idx="7">
                  <c:v>Containerised Recycling U.A.</c:v>
                </c:pt>
              </c:strCache>
            </c:strRef>
          </c:cat>
          <c:val>
            <c:numRef>
              <c:f>'WAGR Steels Results'!$B$169:$I$169</c:f>
              <c:numCache>
                <c:formatCode>0.00</c:formatCode>
                <c:ptCount val="8"/>
                <c:pt idx="0">
                  <c:v>6.8596026490066224</c:v>
                </c:pt>
                <c:pt idx="1">
                  <c:v>3.1066952789699598</c:v>
                </c:pt>
                <c:pt idx="2">
                  <c:v>6.3508645833333501</c:v>
                </c:pt>
                <c:pt idx="3">
                  <c:v>1.3997233748271012</c:v>
                </c:pt>
                <c:pt idx="4">
                  <c:v>18.745830188679246</c:v>
                </c:pt>
                <c:pt idx="5">
                  <c:v>13.784654088050294</c:v>
                </c:pt>
                <c:pt idx="6">
                  <c:v>19.422191358024669</c:v>
                </c:pt>
                <c:pt idx="7">
                  <c:v>14.589451476793236</c:v>
                </c:pt>
              </c:numCache>
            </c:numRef>
          </c:val>
        </c:ser>
        <c:axId val="66829312"/>
        <c:axId val="66847872"/>
      </c:barChart>
      <c:catAx>
        <c:axId val="668293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Disposition options for Low Alloyed and Unalloyed Steel</a:t>
                </a:r>
              </a:p>
            </c:rich>
          </c:tx>
          <c:layout>
            <c:manualLayout>
              <c:xMode val="edge"/>
              <c:yMode val="edge"/>
              <c:x val="0.30947697111631539"/>
              <c:y val="0.884445393478357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6847872"/>
        <c:crosses val="autoZero"/>
        <c:auto val="1"/>
        <c:lblAlgn val="ctr"/>
        <c:lblOffset val="100"/>
        <c:tickLblSkip val="1"/>
        <c:tickMarkSkip val="1"/>
      </c:catAx>
      <c:valAx>
        <c:axId val="668478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Increase (%)</a:t>
                </a:r>
              </a:p>
            </c:rich>
          </c:tx>
          <c:layout>
            <c:manualLayout>
              <c:xMode val="edge"/>
              <c:yMode val="edge"/>
              <c:x val="2.8260893617805972E-2"/>
              <c:y val="0.29333368922105074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2931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Absolute increase in WAGR Boiler Total Life Cycle Results using a Uniform Weighting Factor</a:t>
            </a:r>
          </a:p>
        </c:rich>
      </c:tx>
      <c:layout>
        <c:manualLayout>
          <c:xMode val="edge"/>
          <c:yMode val="edge"/>
          <c:x val="0.11378567040822025"/>
          <c:y val="4.10254820509641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389607644453103"/>
          <c:y val="0.16923034547689905"/>
          <c:w val="0.87229414181554399"/>
          <c:h val="0.45640911355891001"/>
        </c:manualLayout>
      </c:layout>
      <c:barChart>
        <c:barDir val="col"/>
        <c:grouping val="clustered"/>
        <c:ser>
          <c:idx val="0"/>
          <c:order val="0"/>
          <c:tx>
            <c:strRef>
              <c:f>'WAGR Steels Results'!$A$171</c:f>
              <c:strCache>
                <c:ptCount val="1"/>
                <c:pt idx="0">
                  <c:v>Increase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Results'!$B$170:$I$170</c:f>
              <c:strCache>
                <c:ptCount val="8"/>
                <c:pt idx="0">
                  <c:v>Direct Disposal L.A.</c:v>
                </c:pt>
                <c:pt idx="1">
                  <c:v>Direct Disposal U.A.</c:v>
                </c:pt>
                <c:pt idx="2">
                  <c:v>Packaged Disposal L.A.</c:v>
                </c:pt>
                <c:pt idx="3">
                  <c:v>Packaged Disposal U.A.</c:v>
                </c:pt>
                <c:pt idx="4">
                  <c:v>Bulk Recycling L.A</c:v>
                </c:pt>
                <c:pt idx="5">
                  <c:v>Bulk Recycling U.A.</c:v>
                </c:pt>
                <c:pt idx="6">
                  <c:v>Containerised Recycling L.A.</c:v>
                </c:pt>
                <c:pt idx="7">
                  <c:v>Containerised Recycling U.A.</c:v>
                </c:pt>
              </c:strCache>
            </c:strRef>
          </c:cat>
          <c:val>
            <c:numRef>
              <c:f>'WAGR Steels Results'!$B$171:$I$171</c:f>
              <c:numCache>
                <c:formatCode>0.00E+00</c:formatCode>
                <c:ptCount val="8"/>
                <c:pt idx="0">
                  <c:v>20716</c:v>
                </c:pt>
                <c:pt idx="1">
                  <c:v>7238.6000000000058</c:v>
                </c:pt>
                <c:pt idx="2">
                  <c:v>20322.766666666721</c:v>
                </c:pt>
                <c:pt idx="3">
                  <c:v>3373.3333333333139</c:v>
                </c:pt>
                <c:pt idx="4">
                  <c:v>19870.580000000002</c:v>
                </c:pt>
                <c:pt idx="5">
                  <c:v>5114.1066666666593</c:v>
                </c:pt>
                <c:pt idx="6">
                  <c:v>20975.966666666645</c:v>
                </c:pt>
                <c:pt idx="7">
                  <c:v>5762.8333333333285</c:v>
                </c:pt>
              </c:numCache>
            </c:numRef>
          </c:val>
        </c:ser>
        <c:axId val="66884352"/>
        <c:axId val="66886272"/>
      </c:barChart>
      <c:catAx>
        <c:axId val="668843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Disposition options for Low Alloyed and Unalloyed Steel</a:t>
                </a:r>
              </a:p>
            </c:rich>
          </c:tx>
          <c:layout>
            <c:manualLayout>
              <c:xMode val="edge"/>
              <c:yMode val="edge"/>
              <c:x val="0.30294720252167062"/>
              <c:y val="0.8666650133300266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6886272"/>
        <c:crosses val="autoZero"/>
        <c:auto val="1"/>
        <c:lblAlgn val="ctr"/>
        <c:lblOffset val="100"/>
        <c:tickLblSkip val="1"/>
        <c:tickMarkSkip val="1"/>
      </c:catAx>
      <c:valAx>
        <c:axId val="668862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Increase (Eco-Indicator99 Pt)</a:t>
                </a:r>
              </a:p>
            </c:rich>
          </c:tx>
          <c:layout>
            <c:manualLayout>
              <c:xMode val="edge"/>
              <c:yMode val="edge"/>
              <c:x val="2.8446479651036527E-2"/>
              <c:y val="8.7179201025068709E-2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8435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Life Cycle Impact for WAGR Boiler Disposition Options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with Unalloyed Steel and different Weighting Factors</a:t>
            </a:r>
          </a:p>
        </c:rich>
      </c:tx>
      <c:layout>
        <c:manualLayout>
          <c:xMode val="edge"/>
          <c:yMode val="edge"/>
          <c:x val="0.20854243219597551"/>
          <c:y val="3.883490978721999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231783974947805"/>
          <c:y val="0.28358183121699404"/>
          <c:w val="0.82119183169284016"/>
          <c:h val="0.45522346590096507"/>
        </c:manualLayout>
      </c:layout>
      <c:barChart>
        <c:barDir val="col"/>
        <c:grouping val="clustered"/>
        <c:ser>
          <c:idx val="0"/>
          <c:order val="0"/>
          <c:tx>
            <c:strRef>
              <c:f>'WAGR Steels Results'!$A$176</c:f>
              <c:strCache>
                <c:ptCount val="1"/>
                <c:pt idx="0">
                  <c:v>Uniform Weighting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Results'!$B$174:$E$174</c:f>
              <c:strCache>
                <c:ptCount val="4"/>
                <c:pt idx="0">
                  <c:v>Direct Disposal</c:v>
                </c:pt>
                <c:pt idx="1">
                  <c:v>Packaged Disposal </c:v>
                </c:pt>
                <c:pt idx="2">
                  <c:v>Bulk Recycling </c:v>
                </c:pt>
                <c:pt idx="3">
                  <c:v>Containerised Recycling</c:v>
                </c:pt>
              </c:strCache>
            </c:strRef>
          </c:cat>
          <c:val>
            <c:numRef>
              <c:f>'WAGR Steels Results'!$B$176:$E$176</c:f>
              <c:numCache>
                <c:formatCode>0.00E+00</c:formatCode>
                <c:ptCount val="4"/>
                <c:pt idx="0">
                  <c:v>240238.6</c:v>
                </c:pt>
                <c:pt idx="1">
                  <c:v>244373.33333333331</c:v>
                </c:pt>
                <c:pt idx="2">
                  <c:v>42214.106666666659</c:v>
                </c:pt>
                <c:pt idx="3">
                  <c:v>45262.833333333328</c:v>
                </c:pt>
              </c:numCache>
            </c:numRef>
          </c:val>
        </c:ser>
        <c:ser>
          <c:idx val="1"/>
          <c:order val="1"/>
          <c:tx>
            <c:strRef>
              <c:f>'WAGR Steels Results'!$A$175</c:f>
              <c:strCache>
                <c:ptCount val="1"/>
                <c:pt idx="0">
                  <c:v>Average Hierarchist Weighting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Steels Results'!$B$174:$E$174</c:f>
              <c:strCache>
                <c:ptCount val="4"/>
                <c:pt idx="0">
                  <c:v>Direct Disposal</c:v>
                </c:pt>
                <c:pt idx="1">
                  <c:v>Packaged Disposal </c:v>
                </c:pt>
                <c:pt idx="2">
                  <c:v>Bulk Recycling </c:v>
                </c:pt>
                <c:pt idx="3">
                  <c:v>Containerised Recycling</c:v>
                </c:pt>
              </c:strCache>
            </c:strRef>
          </c:cat>
          <c:val>
            <c:numRef>
              <c:f>'WAGR Steels Results'!$B$175:$E$175</c:f>
              <c:numCache>
                <c:formatCode>0.00E+00</c:formatCode>
                <c:ptCount val="4"/>
                <c:pt idx="0">
                  <c:v>233000</c:v>
                </c:pt>
                <c:pt idx="1">
                  <c:v>241000</c:v>
                </c:pt>
                <c:pt idx="2">
                  <c:v>37100</c:v>
                </c:pt>
                <c:pt idx="3">
                  <c:v>39500</c:v>
                </c:pt>
              </c:numCache>
            </c:numRef>
          </c:val>
        </c:ser>
        <c:axId val="66940288"/>
        <c:axId val="66946560"/>
      </c:barChart>
      <c:catAx>
        <c:axId val="669402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Disposition Option</a:t>
                </a:r>
              </a:p>
            </c:rich>
          </c:tx>
          <c:layout>
            <c:manualLayout>
              <c:xMode val="edge"/>
              <c:yMode val="edge"/>
              <c:x val="0.47989901262342211"/>
              <c:y val="0.8737862955809769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46560"/>
        <c:crosses val="autoZero"/>
        <c:auto val="1"/>
        <c:lblAlgn val="ctr"/>
        <c:lblOffset val="100"/>
        <c:tickLblSkip val="1"/>
        <c:tickMarkSkip val="1"/>
      </c:catAx>
      <c:valAx>
        <c:axId val="669465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Eco-Indicator99 Score (Pt)</a:t>
                </a:r>
              </a:p>
            </c:rich>
          </c:tx>
          <c:layout>
            <c:manualLayout>
              <c:xMode val="edge"/>
              <c:yMode val="edge"/>
              <c:x val="3.2663167104111983E-2"/>
              <c:y val="0.30582545106390002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4028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428656130617865"/>
          <c:y val="0.16403785488958991"/>
          <c:w val="0.30238165546329859"/>
          <c:h val="6.624605678233438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8676122931442105"/>
          <c:y val="0.17021276595744703"/>
          <c:w val="0.79432679957558505"/>
          <c:h val="0.28368794326241109"/>
        </c:manualLayout>
      </c:layout>
      <c:barChart>
        <c:barDir val="col"/>
        <c:grouping val="clustered"/>
        <c:ser>
          <c:idx val="0"/>
          <c:order val="0"/>
          <c:tx>
            <c:strRef>
              <c:f>'WAGR Container Results'!$B$2</c:f>
              <c:strCache>
                <c:ptCount val="1"/>
                <c:pt idx="0">
                  <c:v>35  HHISOs from Drigg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Results'!$A$3:$A$14</c:f>
              <c:strCache>
                <c:ptCount val="12"/>
                <c:pt idx="0">
                  <c:v>Boiler Steel</c:v>
                </c:pt>
                <c:pt idx="1">
                  <c:v>HHISO Steel</c:v>
                </c:pt>
                <c:pt idx="2">
                  <c:v>HHISO Production</c:v>
                </c:pt>
                <c:pt idx="3">
                  <c:v>Road Transport</c:v>
                </c:pt>
                <c:pt idx="4">
                  <c:v>Sea Transport</c:v>
                </c:pt>
                <c:pt idx="5">
                  <c:v>Treatment</c:v>
                </c:pt>
                <c:pt idx="6">
                  <c:v>Melting</c:v>
                </c:pt>
                <c:pt idx="7">
                  <c:v>Secondary Waste</c:v>
                </c:pt>
                <c:pt idx="8">
                  <c:v>Recycling  Avoided Metal</c:v>
                </c:pt>
                <c:pt idx="9">
                  <c:v>Disposal</c:v>
                </c:pt>
                <c:pt idx="10">
                  <c:v>Grout</c:v>
                </c:pt>
                <c:pt idx="11">
                  <c:v>Backfill</c:v>
                </c:pt>
              </c:strCache>
            </c:strRef>
          </c:cat>
          <c:val>
            <c:numRef>
              <c:f>'WAGR Container Results'!$B$3:$B$14</c:f>
              <c:numCache>
                <c:formatCode>0.00E+00</c:formatCode>
                <c:ptCount val="12"/>
                <c:pt idx="0">
                  <c:v>0</c:v>
                </c:pt>
                <c:pt idx="1">
                  <c:v>17600</c:v>
                </c:pt>
                <c:pt idx="2">
                  <c:v>1760</c:v>
                </c:pt>
                <c:pt idx="3" formatCode="General">
                  <c:v>90.8</c:v>
                </c:pt>
                <c:pt idx="4" formatCode="General">
                  <c:v>0</c:v>
                </c:pt>
                <c:pt idx="5">
                  <c:v>3230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91800</c:v>
                </c:pt>
                <c:pt idx="10">
                  <c:v>2560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Container Results'!$C$2</c:f>
              <c:strCache>
                <c:ptCount val="1"/>
                <c:pt idx="0">
                  <c:v>35 HHISOs from Manufacturer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Results'!$A$3:$A$14</c:f>
              <c:strCache>
                <c:ptCount val="12"/>
                <c:pt idx="0">
                  <c:v>Boiler Steel</c:v>
                </c:pt>
                <c:pt idx="1">
                  <c:v>HHISO Steel</c:v>
                </c:pt>
                <c:pt idx="2">
                  <c:v>HHISO Production</c:v>
                </c:pt>
                <c:pt idx="3">
                  <c:v>Road Transport</c:v>
                </c:pt>
                <c:pt idx="4">
                  <c:v>Sea Transport</c:v>
                </c:pt>
                <c:pt idx="5">
                  <c:v>Treatment</c:v>
                </c:pt>
                <c:pt idx="6">
                  <c:v>Melting</c:v>
                </c:pt>
                <c:pt idx="7">
                  <c:v>Secondary Waste</c:v>
                </c:pt>
                <c:pt idx="8">
                  <c:v>Recycling  Avoided Metal</c:v>
                </c:pt>
                <c:pt idx="9">
                  <c:v>Disposal</c:v>
                </c:pt>
                <c:pt idx="10">
                  <c:v>Grout</c:v>
                </c:pt>
                <c:pt idx="11">
                  <c:v>Backfill</c:v>
                </c:pt>
              </c:strCache>
            </c:strRef>
          </c:cat>
          <c:val>
            <c:numRef>
              <c:f>'WAGR Container Results'!$C$3:$C$14</c:f>
              <c:numCache>
                <c:formatCode>0.00E+00</c:formatCode>
                <c:ptCount val="12"/>
                <c:pt idx="0">
                  <c:v>0</c:v>
                </c:pt>
                <c:pt idx="1">
                  <c:v>17600</c:v>
                </c:pt>
                <c:pt idx="2">
                  <c:v>1760</c:v>
                </c:pt>
                <c:pt idx="3" formatCode="General">
                  <c:v>574.5</c:v>
                </c:pt>
                <c:pt idx="4" formatCode="General">
                  <c:v>0</c:v>
                </c:pt>
                <c:pt idx="5">
                  <c:v>3234</c:v>
                </c:pt>
                <c:pt idx="6" formatCode="General">
                  <c:v>0</c:v>
                </c:pt>
                <c:pt idx="7" formatCode="General">
                  <c:v>9</c:v>
                </c:pt>
                <c:pt idx="8" formatCode="General">
                  <c:v>0</c:v>
                </c:pt>
                <c:pt idx="9">
                  <c:v>91800</c:v>
                </c:pt>
                <c:pt idx="10">
                  <c:v>2560</c:v>
                </c:pt>
                <c:pt idx="11" formatCode="General">
                  <c:v>0</c:v>
                </c:pt>
              </c:numCache>
            </c:numRef>
          </c:val>
        </c:ser>
        <c:axId val="48898816"/>
        <c:axId val="48900736"/>
      </c:barChart>
      <c:catAx>
        <c:axId val="488988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Material and Process Impacts</a:t>
                </a:r>
              </a:p>
            </c:rich>
          </c:tx>
          <c:layout>
            <c:manualLayout>
              <c:xMode val="edge"/>
              <c:yMode val="edge"/>
              <c:x val="0.37166350082528343"/>
              <c:y val="0.818181703190715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900736"/>
        <c:crosses val="autoZero"/>
        <c:auto val="1"/>
        <c:lblAlgn val="ctr"/>
        <c:lblOffset val="100"/>
        <c:tickLblSkip val="1"/>
        <c:tickMarkSkip val="1"/>
      </c:catAx>
      <c:valAx>
        <c:axId val="489007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Score (Pt)</a:t>
                </a:r>
              </a:p>
            </c:rich>
          </c:tx>
          <c:layout>
            <c:manualLayout>
              <c:xMode val="edge"/>
              <c:yMode val="edge"/>
              <c:x val="2.8747355034228966E-2"/>
              <c:y val="9.0909021914429372E-2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89881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19587628865979"/>
          <c:y val="1.6867469879518072E-2"/>
          <c:w val="0.76494845360824737"/>
          <c:h val="0.1253012048192771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0.3907948350071736"/>
          <c:y val="0.37278192673337357"/>
          <c:w val="0.16160688665710188"/>
          <c:h val="0.19526672352700519"/>
        </c:manualLayout>
      </c:layout>
      <c:pieChart>
        <c:varyColors val="1"/>
        <c:ser>
          <c:idx val="0"/>
          <c:order val="0"/>
          <c:tx>
            <c:strRef>
              <c:f>'General metal graphs'!$A$99</c:f>
              <c:strCache>
                <c:ptCount val="1"/>
                <c:pt idx="0">
                  <c:v>Volume (m3)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explosion val="35"/>
          <c:dPt>
            <c:idx val="0"/>
          </c:dPt>
          <c:dPt>
            <c:idx val="1"/>
            <c:spPr>
              <a:solidFill>
                <a:srgbClr val="FFB14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EF383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30834895506260912"/>
                  <c:y val="4.0724049382770598E-2"/>
                </c:manualLayout>
              </c:layout>
              <c:dLblPos val="bestFit"/>
              <c:showVal val="1"/>
              <c:showCatName val="1"/>
              <c:showPercent val="1"/>
            </c:dLbl>
            <c:dLbl>
              <c:idx val="1"/>
              <c:dLblPos val="bestFit"/>
              <c:showVal val="1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  <c:showCatName val="1"/>
            <c:showPercent val="1"/>
            <c:showLeaderLines val="1"/>
          </c:dLbls>
          <c:cat>
            <c:strRef>
              <c:f>'General metal graphs'!$B$98:$D$98</c:f>
              <c:strCache>
                <c:ptCount val="3"/>
                <c:pt idx="0">
                  <c:v>HLW</c:v>
                </c:pt>
                <c:pt idx="1">
                  <c:v>ILW</c:v>
                </c:pt>
                <c:pt idx="2">
                  <c:v>LLW</c:v>
                </c:pt>
              </c:strCache>
            </c:strRef>
          </c:cat>
          <c:val>
            <c:numRef>
              <c:f>'General metal graphs'!$B$99:$D$99</c:f>
              <c:numCache>
                <c:formatCode>General</c:formatCode>
                <c:ptCount val="3"/>
                <c:pt idx="0">
                  <c:v>1090</c:v>
                </c:pt>
                <c:pt idx="1">
                  <c:v>236000</c:v>
                </c:pt>
                <c:pt idx="2">
                  <c:v>3190000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45279770444763"/>
          <c:y val="0.48639165678544932"/>
          <c:w val="6.7581061692969874E-2"/>
          <c:h val="0.1597636828857315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9630503173246505"/>
          <c:y val="0.17647020225413002"/>
          <c:w val="0.78060137113345807"/>
          <c:h val="0.362744326076887"/>
        </c:manualLayout>
      </c:layout>
      <c:barChart>
        <c:barDir val="col"/>
        <c:grouping val="clustered"/>
        <c:ser>
          <c:idx val="0"/>
          <c:order val="0"/>
          <c:tx>
            <c:strRef>
              <c:f>'WAGR Container Results'!$B$23</c:f>
              <c:strCache>
                <c:ptCount val="1"/>
                <c:pt idx="0">
                  <c:v>35 HHISOs from Drigg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Results'!$A$24:$A$34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Container Results'!$B$24:$B$34</c:f>
              <c:numCache>
                <c:formatCode>0.00E+00</c:formatCode>
                <c:ptCount val="11"/>
                <c:pt idx="0">
                  <c:v>19.899999999999999</c:v>
                </c:pt>
                <c:pt idx="1">
                  <c:v>0.109</c:v>
                </c:pt>
                <c:pt idx="2">
                  <c:v>132</c:v>
                </c:pt>
                <c:pt idx="3">
                  <c:v>34.5</c:v>
                </c:pt>
                <c:pt idx="4">
                  <c:v>0.58899999999999997</c:v>
                </c:pt>
                <c:pt idx="5">
                  <c:v>8.4899999999999993E-3</c:v>
                </c:pt>
                <c:pt idx="6">
                  <c:v>12.7</c:v>
                </c:pt>
                <c:pt idx="7">
                  <c:v>3.96</c:v>
                </c:pt>
                <c:pt idx="8">
                  <c:v>6.45</c:v>
                </c:pt>
                <c:pt idx="9">
                  <c:v>42.5</c:v>
                </c:pt>
                <c:pt idx="10">
                  <c:v>122</c:v>
                </c:pt>
              </c:numCache>
            </c:numRef>
          </c:val>
        </c:ser>
        <c:ser>
          <c:idx val="1"/>
          <c:order val="1"/>
          <c:tx>
            <c:strRef>
              <c:f>'WAGR Container Results'!$C$23</c:f>
              <c:strCache>
                <c:ptCount val="1"/>
                <c:pt idx="0">
                  <c:v>35 HHISOs from Manufacturer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Results'!$A$24:$A$34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Container Results'!$C$24:$C$34</c:f>
              <c:numCache>
                <c:formatCode>0.00E+00</c:formatCode>
                <c:ptCount val="11"/>
                <c:pt idx="0">
                  <c:v>19.899999999999999</c:v>
                </c:pt>
                <c:pt idx="1">
                  <c:v>0.11</c:v>
                </c:pt>
                <c:pt idx="2">
                  <c:v>133</c:v>
                </c:pt>
                <c:pt idx="3">
                  <c:v>34.6</c:v>
                </c:pt>
                <c:pt idx="4">
                  <c:v>0.59</c:v>
                </c:pt>
                <c:pt idx="5">
                  <c:v>8.5699999999999995E-3</c:v>
                </c:pt>
                <c:pt idx="6">
                  <c:v>12.7</c:v>
                </c:pt>
                <c:pt idx="7">
                  <c:v>4</c:v>
                </c:pt>
                <c:pt idx="8">
                  <c:v>6.46</c:v>
                </c:pt>
                <c:pt idx="9">
                  <c:v>42.5</c:v>
                </c:pt>
                <c:pt idx="10">
                  <c:v>123</c:v>
                </c:pt>
              </c:numCache>
            </c:numRef>
          </c:val>
        </c:ser>
        <c:axId val="48999424"/>
        <c:axId val="49005696"/>
      </c:barChart>
      <c:catAx>
        <c:axId val="489994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278343255873502"/>
              <c:y val="0.8773601857460124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005696"/>
        <c:crosses val="autoZero"/>
        <c:auto val="1"/>
        <c:lblAlgn val="ctr"/>
        <c:lblOffset val="100"/>
        <c:tickLblSkip val="1"/>
        <c:tickMarkSkip val="1"/>
      </c:catAx>
      <c:valAx>
        <c:axId val="490056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6804088513326076E-2"/>
              <c:y val="0.21698095430378894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99942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617913208827984"/>
          <c:y val="1.9292604501607719E-2"/>
          <c:w val="0.81097721945109935"/>
          <c:h val="0.1221864951768488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21867881548974899"/>
          <c:y val="0.19600000000000001"/>
          <c:w val="0.76081950747045013"/>
          <c:h val="0.28399968503937006"/>
        </c:manualLayout>
      </c:layout>
      <c:barChart>
        <c:barDir val="col"/>
        <c:grouping val="clustered"/>
        <c:ser>
          <c:idx val="0"/>
          <c:order val="0"/>
          <c:tx>
            <c:strRef>
              <c:f>'WAGR Container Results'!$B$36</c:f>
              <c:strCache>
                <c:ptCount val="1"/>
                <c:pt idx="0">
                  <c:v>35 HHISOs from Drigg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Results'!$A$37:$A$47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Container Results'!$B$37:$B$47</c:f>
              <c:numCache>
                <c:formatCode>0.00E+00</c:formatCode>
                <c:ptCount val="11"/>
                <c:pt idx="0">
                  <c:v>7950</c:v>
                </c:pt>
                <c:pt idx="1">
                  <c:v>43.5</c:v>
                </c:pt>
                <c:pt idx="2">
                  <c:v>52900</c:v>
                </c:pt>
                <c:pt idx="3">
                  <c:v>13800</c:v>
                </c:pt>
                <c:pt idx="4">
                  <c:v>236</c:v>
                </c:pt>
                <c:pt idx="5">
                  <c:v>3.43</c:v>
                </c:pt>
                <c:pt idx="6">
                  <c:v>5080</c:v>
                </c:pt>
                <c:pt idx="7">
                  <c:v>1590</c:v>
                </c:pt>
                <c:pt idx="8">
                  <c:v>2580</c:v>
                </c:pt>
                <c:pt idx="9">
                  <c:v>8500</c:v>
                </c:pt>
                <c:pt idx="10">
                  <c:v>24400</c:v>
                </c:pt>
              </c:numCache>
            </c:numRef>
          </c:val>
        </c:ser>
        <c:ser>
          <c:idx val="1"/>
          <c:order val="1"/>
          <c:tx>
            <c:strRef>
              <c:f>'WAGR Container Results'!$C$36</c:f>
              <c:strCache>
                <c:ptCount val="1"/>
                <c:pt idx="0">
                  <c:v>35 HHISOs from Manufacturer</c:v>
                </c:pt>
              </c:strCache>
            </c:strRef>
          </c:tx>
          <c:spPr>
            <a:solidFill>
              <a:srgbClr val="CCCC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Results'!$A$37:$A$47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Container Results'!$C$37:$C$47</c:f>
              <c:numCache>
                <c:formatCode>0.00E+00</c:formatCode>
                <c:ptCount val="11"/>
                <c:pt idx="0">
                  <c:v>7950</c:v>
                </c:pt>
                <c:pt idx="1">
                  <c:v>43.8</c:v>
                </c:pt>
                <c:pt idx="2">
                  <c:v>53000</c:v>
                </c:pt>
                <c:pt idx="3">
                  <c:v>13800</c:v>
                </c:pt>
                <c:pt idx="4">
                  <c:v>236</c:v>
                </c:pt>
                <c:pt idx="5">
                  <c:v>3.43</c:v>
                </c:pt>
                <c:pt idx="6">
                  <c:v>5090</c:v>
                </c:pt>
                <c:pt idx="7">
                  <c:v>1600</c:v>
                </c:pt>
                <c:pt idx="8">
                  <c:v>2590</c:v>
                </c:pt>
                <c:pt idx="9">
                  <c:v>8500</c:v>
                </c:pt>
                <c:pt idx="10">
                  <c:v>24600</c:v>
                </c:pt>
              </c:numCache>
            </c:numRef>
          </c:val>
        </c:ser>
        <c:axId val="49161728"/>
        <c:axId val="49163648"/>
      </c:barChart>
      <c:catAx>
        <c:axId val="49161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076031496062994"/>
              <c:y val="0.8964143370967517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163648"/>
        <c:crosses val="autoZero"/>
        <c:auto val="1"/>
        <c:lblAlgn val="ctr"/>
        <c:lblOffset val="100"/>
        <c:tickLblSkip val="1"/>
        <c:tickMarkSkip val="1"/>
      </c:catAx>
      <c:valAx>
        <c:axId val="491636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Score (Pt)</a:t>
                </a:r>
              </a:p>
            </c:rich>
          </c:tx>
          <c:layout>
            <c:manualLayout>
              <c:xMode val="edge"/>
              <c:yMode val="edge"/>
              <c:x val="2.6694173228346458E-2"/>
              <c:y val="0.12350567290199836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16172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6856482939632547"/>
          <c:y val="1.5999944451388019E-2"/>
          <c:w val="0.90660556430446204"/>
          <c:h val="0.1279998333541640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202898550724638"/>
          <c:y val="0.18942696590239005"/>
          <c:w val="0.77777834835862913"/>
          <c:h val="0.32599049568143207"/>
        </c:manualLayout>
      </c:layout>
      <c:barChart>
        <c:barDir val="col"/>
        <c:grouping val="clustered"/>
        <c:ser>
          <c:idx val="0"/>
          <c:order val="0"/>
          <c:tx>
            <c:strRef>
              <c:f>'WAGR Container Results'!$B$51</c:f>
              <c:strCache>
                <c:ptCount val="1"/>
                <c:pt idx="0">
                  <c:v>35  HHISOs from Drigg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Results'!$A$52:$A$63</c:f>
              <c:strCache>
                <c:ptCount val="12"/>
                <c:pt idx="0">
                  <c:v>Boiler Steel</c:v>
                </c:pt>
                <c:pt idx="1">
                  <c:v>HHISO Steel</c:v>
                </c:pt>
                <c:pt idx="2">
                  <c:v>HHISO Production</c:v>
                </c:pt>
                <c:pt idx="3">
                  <c:v>Road Transport</c:v>
                </c:pt>
                <c:pt idx="4">
                  <c:v>Sea Transport</c:v>
                </c:pt>
                <c:pt idx="5">
                  <c:v>Treatment</c:v>
                </c:pt>
                <c:pt idx="6">
                  <c:v>Melting</c:v>
                </c:pt>
                <c:pt idx="7">
                  <c:v>Secondary Waste</c:v>
                </c:pt>
                <c:pt idx="8">
                  <c:v>Recycling  Avoided Metal</c:v>
                </c:pt>
                <c:pt idx="9">
                  <c:v>Disposal</c:v>
                </c:pt>
                <c:pt idx="10">
                  <c:v>Grout</c:v>
                </c:pt>
                <c:pt idx="11">
                  <c:v>Backfill</c:v>
                </c:pt>
              </c:strCache>
            </c:strRef>
          </c:cat>
          <c:val>
            <c:numRef>
              <c:f>'WAGR Container Results'!$B$52:$B$63</c:f>
              <c:numCache>
                <c:formatCode>0.00E+00</c:formatCode>
                <c:ptCount val="12"/>
                <c:pt idx="0">
                  <c:v>0</c:v>
                </c:pt>
                <c:pt idx="1">
                  <c:v>17600</c:v>
                </c:pt>
                <c:pt idx="2">
                  <c:v>1760</c:v>
                </c:pt>
                <c:pt idx="3" formatCode="General">
                  <c:v>80.599999999999994</c:v>
                </c:pt>
                <c:pt idx="4" formatCode="General">
                  <c:v>0</c:v>
                </c:pt>
                <c:pt idx="5">
                  <c:v>3230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91800</c:v>
                </c:pt>
                <c:pt idx="10">
                  <c:v>2560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Container Results'!$C$51</c:f>
              <c:strCache>
                <c:ptCount val="1"/>
                <c:pt idx="0">
                  <c:v>48 HHISOs from Drigg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Results'!$A$52:$A$63</c:f>
              <c:strCache>
                <c:ptCount val="12"/>
                <c:pt idx="0">
                  <c:v>Boiler Steel</c:v>
                </c:pt>
                <c:pt idx="1">
                  <c:v>HHISO Steel</c:v>
                </c:pt>
                <c:pt idx="2">
                  <c:v>HHISO Production</c:v>
                </c:pt>
                <c:pt idx="3">
                  <c:v>Road Transport</c:v>
                </c:pt>
                <c:pt idx="4">
                  <c:v>Sea Transport</c:v>
                </c:pt>
                <c:pt idx="5">
                  <c:v>Treatment</c:v>
                </c:pt>
                <c:pt idx="6">
                  <c:v>Melting</c:v>
                </c:pt>
                <c:pt idx="7">
                  <c:v>Secondary Waste</c:v>
                </c:pt>
                <c:pt idx="8">
                  <c:v>Recycling  Avoided Metal</c:v>
                </c:pt>
                <c:pt idx="9">
                  <c:v>Disposal</c:v>
                </c:pt>
                <c:pt idx="10">
                  <c:v>Grout</c:v>
                </c:pt>
                <c:pt idx="11">
                  <c:v>Backfill</c:v>
                </c:pt>
              </c:strCache>
            </c:strRef>
          </c:cat>
          <c:val>
            <c:numRef>
              <c:f>'WAGR Container Results'!$C$52:$C$63</c:f>
              <c:numCache>
                <c:formatCode>0.00E+00</c:formatCode>
                <c:ptCount val="12"/>
                <c:pt idx="0">
                  <c:v>0</c:v>
                </c:pt>
                <c:pt idx="1">
                  <c:v>24100</c:v>
                </c:pt>
                <c:pt idx="2">
                  <c:v>2410</c:v>
                </c:pt>
                <c:pt idx="3" formatCode="General">
                  <c:v>87.2</c:v>
                </c:pt>
                <c:pt idx="4" formatCode="General">
                  <c:v>0</c:v>
                </c:pt>
                <c:pt idx="5">
                  <c:v>3230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126000</c:v>
                </c:pt>
                <c:pt idx="10">
                  <c:v>3510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'WAGR Container Results'!$D$51</c:f>
              <c:strCache>
                <c:ptCount val="1"/>
                <c:pt idx="0">
                  <c:v>75 HHISOs from Drigg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Results'!$A$52:$A$63</c:f>
              <c:strCache>
                <c:ptCount val="12"/>
                <c:pt idx="0">
                  <c:v>Boiler Steel</c:v>
                </c:pt>
                <c:pt idx="1">
                  <c:v>HHISO Steel</c:v>
                </c:pt>
                <c:pt idx="2">
                  <c:v>HHISO Production</c:v>
                </c:pt>
                <c:pt idx="3">
                  <c:v>Road Transport</c:v>
                </c:pt>
                <c:pt idx="4">
                  <c:v>Sea Transport</c:v>
                </c:pt>
                <c:pt idx="5">
                  <c:v>Treatment</c:v>
                </c:pt>
                <c:pt idx="6">
                  <c:v>Melting</c:v>
                </c:pt>
                <c:pt idx="7">
                  <c:v>Secondary Waste</c:v>
                </c:pt>
                <c:pt idx="8">
                  <c:v>Recycling  Avoided Metal</c:v>
                </c:pt>
                <c:pt idx="9">
                  <c:v>Disposal</c:v>
                </c:pt>
                <c:pt idx="10">
                  <c:v>Grout</c:v>
                </c:pt>
                <c:pt idx="11">
                  <c:v>Backfill</c:v>
                </c:pt>
              </c:strCache>
            </c:strRef>
          </c:cat>
          <c:val>
            <c:numRef>
              <c:f>'WAGR Container Results'!$D$52:$D$63</c:f>
              <c:numCache>
                <c:formatCode>0.00E+00</c:formatCode>
                <c:ptCount val="12"/>
                <c:pt idx="0">
                  <c:v>0</c:v>
                </c:pt>
                <c:pt idx="1">
                  <c:v>37700</c:v>
                </c:pt>
                <c:pt idx="2">
                  <c:v>3770</c:v>
                </c:pt>
                <c:pt idx="3" formatCode="General">
                  <c:v>101</c:v>
                </c:pt>
                <c:pt idx="4" formatCode="General">
                  <c:v>0</c:v>
                </c:pt>
                <c:pt idx="5">
                  <c:v>3230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196000</c:v>
                </c:pt>
                <c:pt idx="10">
                  <c:v>5480</c:v>
                </c:pt>
                <c:pt idx="11">
                  <c:v>0</c:v>
                </c:pt>
              </c:numCache>
            </c:numRef>
          </c:val>
        </c:ser>
        <c:axId val="49209728"/>
        <c:axId val="49211648"/>
      </c:barChart>
      <c:catAx>
        <c:axId val="49209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Material and Process Impact</a:t>
                </a:r>
              </a:p>
            </c:rich>
          </c:tx>
          <c:layout>
            <c:manualLayout>
              <c:xMode val="edge"/>
              <c:yMode val="edge"/>
              <c:x val="0.44558565772498782"/>
              <c:y val="0.890295160473361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211648"/>
        <c:crosses val="autoZero"/>
        <c:auto val="1"/>
        <c:lblAlgn val="ctr"/>
        <c:lblOffset val="100"/>
        <c:tickLblSkip val="1"/>
        <c:tickMarkSkip val="1"/>
      </c:catAx>
      <c:valAx>
        <c:axId val="492116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Score (Pt)</a:t>
                </a:r>
              </a:p>
            </c:rich>
          </c:tx>
          <c:layout>
            <c:manualLayout>
              <c:xMode val="edge"/>
              <c:yMode val="edge"/>
              <c:x val="2.6694025534943728E-2"/>
              <c:y val="0.13080167610627619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20972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13319238900634"/>
          <c:y val="4.3859774362020175E-2"/>
          <c:w val="0.7547568710359408"/>
          <c:h val="9.356751863897637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21635904680780305"/>
          <c:y val="0.19059224451782206"/>
          <c:w val="0.7625340203187001"/>
          <c:h val="0.32795614257895206"/>
        </c:manualLayout>
      </c:layout>
      <c:barChart>
        <c:barDir val="col"/>
        <c:grouping val="clustered"/>
        <c:ser>
          <c:idx val="0"/>
          <c:order val="0"/>
          <c:tx>
            <c:strRef>
              <c:f>'WAGR Container Results'!$B$69</c:f>
              <c:strCache>
                <c:ptCount val="1"/>
                <c:pt idx="0">
                  <c:v>35 HHISOs from Drigg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Results'!$A$70:$A$80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Container Results'!$B$70:$B$80</c:f>
              <c:numCache>
                <c:formatCode>0.00E+00</c:formatCode>
                <c:ptCount val="11"/>
                <c:pt idx="0">
                  <c:v>19.899999999999999</c:v>
                </c:pt>
                <c:pt idx="1">
                  <c:v>0.109</c:v>
                </c:pt>
                <c:pt idx="2">
                  <c:v>132</c:v>
                </c:pt>
                <c:pt idx="3">
                  <c:v>34.5</c:v>
                </c:pt>
                <c:pt idx="4">
                  <c:v>0.58899999999999997</c:v>
                </c:pt>
                <c:pt idx="5">
                  <c:v>8.4899999999999993E-3</c:v>
                </c:pt>
                <c:pt idx="6">
                  <c:v>12.7</c:v>
                </c:pt>
                <c:pt idx="7">
                  <c:v>3.96</c:v>
                </c:pt>
                <c:pt idx="8">
                  <c:v>6.45</c:v>
                </c:pt>
                <c:pt idx="9">
                  <c:v>42.5</c:v>
                </c:pt>
                <c:pt idx="10">
                  <c:v>122</c:v>
                </c:pt>
              </c:numCache>
            </c:numRef>
          </c:val>
        </c:ser>
        <c:ser>
          <c:idx val="1"/>
          <c:order val="1"/>
          <c:tx>
            <c:strRef>
              <c:f>'WAGR Container Results'!$C$69</c:f>
              <c:strCache>
                <c:ptCount val="1"/>
                <c:pt idx="0">
                  <c:v>48 HHISOs from Drigg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Results'!$A$70:$A$80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Container Results'!$C$70:$C$80</c:f>
              <c:numCache>
                <c:formatCode>0.00E+00</c:formatCode>
                <c:ptCount val="11"/>
                <c:pt idx="0">
                  <c:v>27.1</c:v>
                </c:pt>
                <c:pt idx="1">
                  <c:v>0.14799999999999999</c:v>
                </c:pt>
                <c:pt idx="2">
                  <c:v>180</c:v>
                </c:pt>
                <c:pt idx="3">
                  <c:v>46.9</c:v>
                </c:pt>
                <c:pt idx="4">
                  <c:v>0.80200000000000005</c:v>
                </c:pt>
                <c:pt idx="5">
                  <c:v>1.1599999999999999E-2</c:v>
                </c:pt>
                <c:pt idx="6">
                  <c:v>17.2</c:v>
                </c:pt>
                <c:pt idx="7">
                  <c:v>5.4</c:v>
                </c:pt>
                <c:pt idx="8">
                  <c:v>8.7899999999999991</c:v>
                </c:pt>
                <c:pt idx="9">
                  <c:v>57.9</c:v>
                </c:pt>
                <c:pt idx="10">
                  <c:v>166</c:v>
                </c:pt>
              </c:numCache>
            </c:numRef>
          </c:val>
        </c:ser>
        <c:ser>
          <c:idx val="2"/>
          <c:order val="2"/>
          <c:tx>
            <c:strRef>
              <c:f>'WAGR Container Results'!$D$69</c:f>
              <c:strCache>
                <c:ptCount val="1"/>
                <c:pt idx="0">
                  <c:v>75 HHISOs from Drigg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Results'!$A$70:$A$80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Container Results'!$D$70:$D$80</c:f>
              <c:numCache>
                <c:formatCode>0.00E+00</c:formatCode>
                <c:ptCount val="11"/>
                <c:pt idx="0">
                  <c:v>42.1</c:v>
                </c:pt>
                <c:pt idx="1">
                  <c:v>0.23</c:v>
                </c:pt>
                <c:pt idx="2">
                  <c:v>279</c:v>
                </c:pt>
                <c:pt idx="3">
                  <c:v>72.8</c:v>
                </c:pt>
                <c:pt idx="4">
                  <c:v>1.24</c:v>
                </c:pt>
                <c:pt idx="5">
                  <c:v>1.7899999999999999E-2</c:v>
                </c:pt>
                <c:pt idx="6">
                  <c:v>26.7</c:v>
                </c:pt>
                <c:pt idx="7">
                  <c:v>8.3800000000000008</c:v>
                </c:pt>
                <c:pt idx="8">
                  <c:v>13.7</c:v>
                </c:pt>
                <c:pt idx="9">
                  <c:v>89.9</c:v>
                </c:pt>
                <c:pt idx="10">
                  <c:v>257</c:v>
                </c:pt>
              </c:numCache>
            </c:numRef>
          </c:val>
        </c:ser>
        <c:axId val="49274240"/>
        <c:axId val="49276416"/>
      </c:barChart>
      <c:catAx>
        <c:axId val="492742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27531426992679"/>
              <c:y val="0.8699984330316918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276416"/>
        <c:crosses val="autoZero"/>
        <c:auto val="1"/>
        <c:lblAlgn val="ctr"/>
        <c:lblOffset val="100"/>
        <c:tickLblSkip val="1"/>
        <c:tickMarkSkip val="1"/>
      </c:catAx>
      <c:valAx>
        <c:axId val="492764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6914839306413932E-2"/>
              <c:y val="0.19999960825792298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27424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85394338154471"/>
          <c:y val="5.5970251228448627E-2"/>
          <c:w val="0.46803757321448081"/>
          <c:h val="7.462700163793151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21411173055922805"/>
          <c:y val="0.19823753858961501"/>
          <c:w val="0.76398930973044399"/>
          <c:h val="0.28634291858892102"/>
        </c:manualLayout>
      </c:layout>
      <c:barChart>
        <c:barDir val="col"/>
        <c:grouping val="clustered"/>
        <c:ser>
          <c:idx val="0"/>
          <c:order val="0"/>
          <c:tx>
            <c:strRef>
              <c:f>'WAGR Container Results'!$B$82</c:f>
              <c:strCache>
                <c:ptCount val="1"/>
                <c:pt idx="0">
                  <c:v>35 HHISOs from Drigg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Results'!$A$83:$A$93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Container Results'!$B$83:$B$93</c:f>
              <c:numCache>
                <c:formatCode>0.00E+00</c:formatCode>
                <c:ptCount val="11"/>
                <c:pt idx="0">
                  <c:v>7950</c:v>
                </c:pt>
                <c:pt idx="1">
                  <c:v>43.5</c:v>
                </c:pt>
                <c:pt idx="2">
                  <c:v>52900</c:v>
                </c:pt>
                <c:pt idx="3">
                  <c:v>13800</c:v>
                </c:pt>
                <c:pt idx="4">
                  <c:v>236</c:v>
                </c:pt>
                <c:pt idx="5">
                  <c:v>3.43</c:v>
                </c:pt>
                <c:pt idx="6">
                  <c:v>5080</c:v>
                </c:pt>
                <c:pt idx="7">
                  <c:v>1590</c:v>
                </c:pt>
                <c:pt idx="8">
                  <c:v>2580</c:v>
                </c:pt>
                <c:pt idx="9">
                  <c:v>8500</c:v>
                </c:pt>
                <c:pt idx="10">
                  <c:v>24400</c:v>
                </c:pt>
              </c:numCache>
            </c:numRef>
          </c:val>
        </c:ser>
        <c:ser>
          <c:idx val="1"/>
          <c:order val="1"/>
          <c:tx>
            <c:strRef>
              <c:f>'WAGR Container Results'!$C$82</c:f>
              <c:strCache>
                <c:ptCount val="1"/>
                <c:pt idx="0">
                  <c:v>48 HHISOs from Drigg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Results'!$A$83:$A$93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Container Results'!$C$83:$C$93</c:f>
              <c:numCache>
                <c:formatCode>0.00E+00</c:formatCode>
                <c:ptCount val="11"/>
                <c:pt idx="0">
                  <c:v>10800</c:v>
                </c:pt>
                <c:pt idx="1">
                  <c:v>59.3</c:v>
                </c:pt>
                <c:pt idx="2">
                  <c:v>72000</c:v>
                </c:pt>
                <c:pt idx="3">
                  <c:v>18800</c:v>
                </c:pt>
                <c:pt idx="4">
                  <c:v>321</c:v>
                </c:pt>
                <c:pt idx="5">
                  <c:v>4.62</c:v>
                </c:pt>
                <c:pt idx="6">
                  <c:v>6900</c:v>
                </c:pt>
                <c:pt idx="7">
                  <c:v>2160</c:v>
                </c:pt>
                <c:pt idx="8">
                  <c:v>3520</c:v>
                </c:pt>
                <c:pt idx="9">
                  <c:v>11600</c:v>
                </c:pt>
                <c:pt idx="10">
                  <c:v>33200</c:v>
                </c:pt>
              </c:numCache>
            </c:numRef>
          </c:val>
        </c:ser>
        <c:ser>
          <c:idx val="2"/>
          <c:order val="2"/>
          <c:tx>
            <c:strRef>
              <c:f>'WAGR Container Results'!$D$82</c:f>
              <c:strCache>
                <c:ptCount val="1"/>
                <c:pt idx="0">
                  <c:v>75 HHISOs from Drigg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Results'!$A$83:$A$93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Container Results'!$D$83:$D$93</c:f>
              <c:numCache>
                <c:formatCode>0.00E+00</c:formatCode>
                <c:ptCount val="11"/>
                <c:pt idx="0">
                  <c:v>16800</c:v>
                </c:pt>
                <c:pt idx="1">
                  <c:v>92.1</c:v>
                </c:pt>
                <c:pt idx="2">
                  <c:v>112000</c:v>
                </c:pt>
                <c:pt idx="3">
                  <c:v>29100</c:v>
                </c:pt>
                <c:pt idx="4">
                  <c:v>498</c:v>
                </c:pt>
                <c:pt idx="5">
                  <c:v>7.17</c:v>
                </c:pt>
                <c:pt idx="6">
                  <c:v>10700</c:v>
                </c:pt>
                <c:pt idx="7">
                  <c:v>3350</c:v>
                </c:pt>
                <c:pt idx="8">
                  <c:v>5460</c:v>
                </c:pt>
                <c:pt idx="9">
                  <c:v>18000</c:v>
                </c:pt>
                <c:pt idx="10">
                  <c:v>51300</c:v>
                </c:pt>
              </c:numCache>
            </c:numRef>
          </c:val>
        </c:ser>
        <c:axId val="49384064"/>
        <c:axId val="49398528"/>
      </c:barChart>
      <c:catAx>
        <c:axId val="49384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183683289588803"/>
              <c:y val="0.8884121946295173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398528"/>
        <c:crosses val="autoZero"/>
        <c:auto val="1"/>
        <c:lblAlgn val="ctr"/>
        <c:lblOffset val="100"/>
        <c:tickLblSkip val="1"/>
        <c:tickMarkSkip val="1"/>
      </c:catAx>
      <c:valAx>
        <c:axId val="493985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(Pt)</a:t>
                </a:r>
              </a:p>
            </c:rich>
          </c:tx>
          <c:layout>
            <c:manualLayout>
              <c:xMode val="edge"/>
              <c:yMode val="edge"/>
              <c:x val="2.6530839895013127E-2"/>
              <c:y val="0.15450676357762971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38406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7031583552055993"/>
          <c:y val="3.5242317787199676E-2"/>
          <c:w val="0.92700634295713025"/>
          <c:h val="0.1277532000807591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21290430854320205"/>
          <c:y val="0.26635477224225512"/>
          <c:w val="0.76675624327120007"/>
          <c:h val="0.33326514092280507"/>
        </c:manualLayout>
      </c:layout>
      <c:barChart>
        <c:barDir val="col"/>
        <c:grouping val="clustered"/>
        <c:ser>
          <c:idx val="0"/>
          <c:order val="0"/>
          <c:tx>
            <c:strRef>
              <c:f>'WAGR Container Results'!$B$97</c:f>
              <c:strCache>
                <c:ptCount val="1"/>
                <c:pt idx="0">
                  <c:v>35  HHISOs from Drigg, 10% Mass proxy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Results'!$A$98:$A$109</c:f>
              <c:strCache>
                <c:ptCount val="12"/>
                <c:pt idx="0">
                  <c:v>Boiler Steel</c:v>
                </c:pt>
                <c:pt idx="1">
                  <c:v>HHISO Steel</c:v>
                </c:pt>
                <c:pt idx="2">
                  <c:v>HHISO Production</c:v>
                </c:pt>
                <c:pt idx="3">
                  <c:v>Road Transport</c:v>
                </c:pt>
                <c:pt idx="4">
                  <c:v>Sea Transport</c:v>
                </c:pt>
                <c:pt idx="5">
                  <c:v>Treatment</c:v>
                </c:pt>
                <c:pt idx="6">
                  <c:v>Melting</c:v>
                </c:pt>
                <c:pt idx="7">
                  <c:v>Secondary Waste</c:v>
                </c:pt>
                <c:pt idx="8">
                  <c:v>Recycling  Avoided Metal</c:v>
                </c:pt>
                <c:pt idx="9">
                  <c:v>Disposal</c:v>
                </c:pt>
                <c:pt idx="10">
                  <c:v>Grout</c:v>
                </c:pt>
                <c:pt idx="11">
                  <c:v>Backfill</c:v>
                </c:pt>
              </c:strCache>
            </c:strRef>
          </c:cat>
          <c:val>
            <c:numRef>
              <c:f>'WAGR Container Results'!$B$98:$B$109</c:f>
              <c:numCache>
                <c:formatCode>0.00E+00</c:formatCode>
                <c:ptCount val="12"/>
                <c:pt idx="0">
                  <c:v>0</c:v>
                </c:pt>
                <c:pt idx="1">
                  <c:v>17600</c:v>
                </c:pt>
                <c:pt idx="2">
                  <c:v>1760</c:v>
                </c:pt>
                <c:pt idx="3" formatCode="General">
                  <c:v>80.599999999999994</c:v>
                </c:pt>
                <c:pt idx="4" formatCode="General">
                  <c:v>0</c:v>
                </c:pt>
                <c:pt idx="5">
                  <c:v>3230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91800</c:v>
                </c:pt>
                <c:pt idx="10">
                  <c:v>2560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Container Results'!$C$97</c:f>
              <c:strCache>
                <c:ptCount val="1"/>
                <c:pt idx="0">
                  <c:v>35 HHISOs from Drigg, Ave. Metal Working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Results'!$A$98:$A$109</c:f>
              <c:strCache>
                <c:ptCount val="12"/>
                <c:pt idx="0">
                  <c:v>Boiler Steel</c:v>
                </c:pt>
                <c:pt idx="1">
                  <c:v>HHISO Steel</c:v>
                </c:pt>
                <c:pt idx="2">
                  <c:v>HHISO Production</c:v>
                </c:pt>
                <c:pt idx="3">
                  <c:v>Road Transport</c:v>
                </c:pt>
                <c:pt idx="4">
                  <c:v>Sea Transport</c:v>
                </c:pt>
                <c:pt idx="5">
                  <c:v>Treatment</c:v>
                </c:pt>
                <c:pt idx="6">
                  <c:v>Melting</c:v>
                </c:pt>
                <c:pt idx="7">
                  <c:v>Secondary Waste</c:v>
                </c:pt>
                <c:pt idx="8">
                  <c:v>Recycling  Avoided Metal</c:v>
                </c:pt>
                <c:pt idx="9">
                  <c:v>Disposal</c:v>
                </c:pt>
                <c:pt idx="10">
                  <c:v>Grout</c:v>
                </c:pt>
                <c:pt idx="11">
                  <c:v>Backfill</c:v>
                </c:pt>
              </c:strCache>
            </c:strRef>
          </c:cat>
          <c:val>
            <c:numRef>
              <c:f>'WAGR Container Results'!$C$98:$C$109</c:f>
              <c:numCache>
                <c:formatCode>0.00E+00</c:formatCode>
                <c:ptCount val="12"/>
                <c:pt idx="0">
                  <c:v>0</c:v>
                </c:pt>
                <c:pt idx="1">
                  <c:v>17600</c:v>
                </c:pt>
                <c:pt idx="2">
                  <c:v>24400</c:v>
                </c:pt>
                <c:pt idx="3" formatCode="General">
                  <c:v>80.599999999999994</c:v>
                </c:pt>
                <c:pt idx="4" formatCode="General">
                  <c:v>0</c:v>
                </c:pt>
                <c:pt idx="5">
                  <c:v>3230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91800</c:v>
                </c:pt>
                <c:pt idx="10">
                  <c:v>2560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'WAGR Container Results'!$D$97</c:f>
              <c:strCache>
                <c:ptCount val="1"/>
                <c:pt idx="0">
                  <c:v>35 HHISOs from Drigg, Ave. Steel Working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Results'!$A$98:$A$109</c:f>
              <c:strCache>
                <c:ptCount val="12"/>
                <c:pt idx="0">
                  <c:v>Boiler Steel</c:v>
                </c:pt>
                <c:pt idx="1">
                  <c:v>HHISO Steel</c:v>
                </c:pt>
                <c:pt idx="2">
                  <c:v>HHISO Production</c:v>
                </c:pt>
                <c:pt idx="3">
                  <c:v>Road Transport</c:v>
                </c:pt>
                <c:pt idx="4">
                  <c:v>Sea Transport</c:v>
                </c:pt>
                <c:pt idx="5">
                  <c:v>Treatment</c:v>
                </c:pt>
                <c:pt idx="6">
                  <c:v>Melting</c:v>
                </c:pt>
                <c:pt idx="7">
                  <c:v>Secondary Waste</c:v>
                </c:pt>
                <c:pt idx="8">
                  <c:v>Recycling  Avoided Metal</c:v>
                </c:pt>
                <c:pt idx="9">
                  <c:v>Disposal</c:v>
                </c:pt>
                <c:pt idx="10">
                  <c:v>Grout</c:v>
                </c:pt>
                <c:pt idx="11">
                  <c:v>Backfill</c:v>
                </c:pt>
              </c:strCache>
            </c:strRef>
          </c:cat>
          <c:val>
            <c:numRef>
              <c:f>'WAGR Container Results'!$D$98:$D$109</c:f>
              <c:numCache>
                <c:formatCode>0.00E+00</c:formatCode>
                <c:ptCount val="12"/>
                <c:pt idx="0">
                  <c:v>0</c:v>
                </c:pt>
                <c:pt idx="1">
                  <c:v>17600</c:v>
                </c:pt>
                <c:pt idx="2">
                  <c:v>16200</c:v>
                </c:pt>
                <c:pt idx="3" formatCode="General">
                  <c:v>80.599999999999994</c:v>
                </c:pt>
                <c:pt idx="4" formatCode="General">
                  <c:v>0</c:v>
                </c:pt>
                <c:pt idx="5">
                  <c:v>3230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91800</c:v>
                </c:pt>
                <c:pt idx="10">
                  <c:v>2560</c:v>
                </c:pt>
                <c:pt idx="11">
                  <c:v>0</c:v>
                </c:pt>
              </c:numCache>
            </c:numRef>
          </c:val>
        </c:ser>
        <c:axId val="49612672"/>
        <c:axId val="49659904"/>
      </c:barChart>
      <c:catAx>
        <c:axId val="496126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Material and Process Impact</a:t>
                </a:r>
              </a:p>
            </c:rich>
          </c:tx>
          <c:layout>
            <c:manualLayout>
              <c:xMode val="edge"/>
              <c:yMode val="edge"/>
              <c:x val="0.44444468916909863"/>
              <c:y val="0.8785036129743041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659904"/>
        <c:crosses val="autoZero"/>
        <c:auto val="1"/>
        <c:lblAlgn val="ctr"/>
        <c:lblOffset val="100"/>
        <c:tickLblSkip val="2"/>
        <c:tickMarkSkip val="1"/>
      </c:catAx>
      <c:valAx>
        <c:axId val="496599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Score (Pt)</a:t>
                </a:r>
              </a:p>
            </c:rich>
          </c:tx>
          <c:layout>
            <c:manualLayout>
              <c:xMode val="edge"/>
              <c:yMode val="edge"/>
              <c:x val="2.6748894150468952E-2"/>
              <c:y val="0.18691552444833287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61267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7902320763951334E-2"/>
          <c:y val="5.5727554179566562E-2"/>
          <c:w val="0.85547980286595571"/>
          <c:h val="0.130030959752321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7369727047146405"/>
          <c:y val="0.24038499394306501"/>
          <c:w val="0.80645102674820701"/>
          <c:h val="0.29807768019382208"/>
        </c:manualLayout>
      </c:layout>
      <c:barChart>
        <c:barDir val="col"/>
        <c:grouping val="clustered"/>
        <c:ser>
          <c:idx val="0"/>
          <c:order val="0"/>
          <c:tx>
            <c:strRef>
              <c:f>'WAGR Container Results'!$B$116</c:f>
              <c:strCache>
                <c:ptCount val="1"/>
                <c:pt idx="0">
                  <c:v>35 HHISOs (Drigg) 10% Mass Proxy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Results'!$A$117:$A$127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Container Results'!$B$117:$B$127</c:f>
              <c:numCache>
                <c:formatCode>0.00E+00</c:formatCode>
                <c:ptCount val="11"/>
                <c:pt idx="0">
                  <c:v>19.899999999999999</c:v>
                </c:pt>
                <c:pt idx="1">
                  <c:v>0.109</c:v>
                </c:pt>
                <c:pt idx="2">
                  <c:v>132</c:v>
                </c:pt>
                <c:pt idx="3">
                  <c:v>34.5</c:v>
                </c:pt>
                <c:pt idx="4">
                  <c:v>0.58899999999999997</c:v>
                </c:pt>
                <c:pt idx="5">
                  <c:v>8.4899999999999993E-3</c:v>
                </c:pt>
                <c:pt idx="6">
                  <c:v>12.7</c:v>
                </c:pt>
                <c:pt idx="7">
                  <c:v>3.96</c:v>
                </c:pt>
                <c:pt idx="8">
                  <c:v>6.45</c:v>
                </c:pt>
                <c:pt idx="9">
                  <c:v>42.5</c:v>
                </c:pt>
                <c:pt idx="10">
                  <c:v>122</c:v>
                </c:pt>
              </c:numCache>
            </c:numRef>
          </c:val>
        </c:ser>
        <c:ser>
          <c:idx val="1"/>
          <c:order val="1"/>
          <c:tx>
            <c:strRef>
              <c:f>'WAGR Container Results'!$C$116</c:f>
              <c:strCache>
                <c:ptCount val="1"/>
                <c:pt idx="0">
                  <c:v>35 HHISOs (Drigg) Ave. Metal Working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Results'!$A$117:$A$127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Container Results'!$C$117:$C$127</c:f>
              <c:numCache>
                <c:formatCode>0.00E+00</c:formatCode>
                <c:ptCount val="11"/>
                <c:pt idx="0">
                  <c:v>25.9</c:v>
                </c:pt>
                <c:pt idx="1">
                  <c:v>0.125</c:v>
                </c:pt>
                <c:pt idx="2">
                  <c:v>150</c:v>
                </c:pt>
                <c:pt idx="3">
                  <c:v>38.9</c:v>
                </c:pt>
                <c:pt idx="4">
                  <c:v>0.65100000000000002</c:v>
                </c:pt>
                <c:pt idx="5">
                  <c:v>1.03E-2</c:v>
                </c:pt>
                <c:pt idx="6">
                  <c:v>18.2</c:v>
                </c:pt>
                <c:pt idx="7">
                  <c:v>4.49</c:v>
                </c:pt>
                <c:pt idx="8">
                  <c:v>7.19</c:v>
                </c:pt>
                <c:pt idx="9">
                  <c:v>57.6</c:v>
                </c:pt>
                <c:pt idx="10">
                  <c:v>150</c:v>
                </c:pt>
              </c:numCache>
            </c:numRef>
          </c:val>
        </c:ser>
        <c:ser>
          <c:idx val="2"/>
          <c:order val="2"/>
          <c:tx>
            <c:strRef>
              <c:f>'WAGR Container Results'!$D$116</c:f>
              <c:strCache>
                <c:ptCount val="1"/>
                <c:pt idx="0">
                  <c:v>35 HHISOs (Drigg) Ave. Steel Working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Results'!$A$117:$A$127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Container Results'!$D$117:$D$127</c:f>
              <c:numCache>
                <c:formatCode>0.00E+00</c:formatCode>
                <c:ptCount val="11"/>
                <c:pt idx="0">
                  <c:v>21.5</c:v>
                </c:pt>
                <c:pt idx="1">
                  <c:v>0.124</c:v>
                </c:pt>
                <c:pt idx="2">
                  <c:v>144</c:v>
                </c:pt>
                <c:pt idx="3">
                  <c:v>38.700000000000003</c:v>
                </c:pt>
                <c:pt idx="4">
                  <c:v>0.64900000000000002</c:v>
                </c:pt>
                <c:pt idx="5">
                  <c:v>1.0200000000000001E-2</c:v>
                </c:pt>
                <c:pt idx="6">
                  <c:v>14.9</c:v>
                </c:pt>
                <c:pt idx="7">
                  <c:v>4.34</c:v>
                </c:pt>
                <c:pt idx="8">
                  <c:v>7.11</c:v>
                </c:pt>
                <c:pt idx="9">
                  <c:v>46.7</c:v>
                </c:pt>
                <c:pt idx="10">
                  <c:v>149</c:v>
                </c:pt>
              </c:numCache>
            </c:numRef>
          </c:val>
        </c:ser>
        <c:axId val="49087616"/>
        <c:axId val="49089536"/>
      </c:barChart>
      <c:catAx>
        <c:axId val="490876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263110767870438"/>
              <c:y val="0.8812781735616380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089536"/>
        <c:crosses val="autoZero"/>
        <c:auto val="1"/>
        <c:lblAlgn val="ctr"/>
        <c:lblOffset val="100"/>
        <c:tickLblSkip val="1"/>
        <c:tickMarkSkip val="1"/>
      </c:catAx>
      <c:valAx>
        <c:axId val="490895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9.9986009211535127E-3"/>
              <c:y val="0.19946406699162605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08761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4143881268572772"/>
          <c:y val="6.6658334374869807E-7"/>
          <c:w val="0.88833694295675736"/>
          <c:h val="0.149040036662083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8316831683168303"/>
          <c:y val="0.21495290308337603"/>
          <c:w val="0.79455445544554404"/>
          <c:h val="0.26635477224225512"/>
        </c:manualLayout>
      </c:layout>
      <c:barChart>
        <c:barDir val="col"/>
        <c:grouping val="clustered"/>
        <c:ser>
          <c:idx val="0"/>
          <c:order val="0"/>
          <c:tx>
            <c:strRef>
              <c:f>'WAGR Container Results'!$B$129</c:f>
              <c:strCache>
                <c:ptCount val="1"/>
                <c:pt idx="0">
                  <c:v>35 HHISOs (Drigg) 10% Mass Proxy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Results'!$A$130:$A$140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Container Results'!$B$130:$B$140</c:f>
              <c:numCache>
                <c:formatCode>0.00E+00</c:formatCode>
                <c:ptCount val="11"/>
                <c:pt idx="0">
                  <c:v>7950</c:v>
                </c:pt>
                <c:pt idx="1">
                  <c:v>43.5</c:v>
                </c:pt>
                <c:pt idx="2">
                  <c:v>52900</c:v>
                </c:pt>
                <c:pt idx="3">
                  <c:v>13800</c:v>
                </c:pt>
                <c:pt idx="4">
                  <c:v>236</c:v>
                </c:pt>
                <c:pt idx="5">
                  <c:v>3.43</c:v>
                </c:pt>
                <c:pt idx="6">
                  <c:v>5080</c:v>
                </c:pt>
                <c:pt idx="7">
                  <c:v>1590</c:v>
                </c:pt>
                <c:pt idx="8">
                  <c:v>2580</c:v>
                </c:pt>
                <c:pt idx="9">
                  <c:v>8500</c:v>
                </c:pt>
                <c:pt idx="10">
                  <c:v>24400</c:v>
                </c:pt>
              </c:numCache>
            </c:numRef>
          </c:val>
        </c:ser>
        <c:ser>
          <c:idx val="1"/>
          <c:order val="1"/>
          <c:tx>
            <c:strRef>
              <c:f>'WAGR Container Results'!$C$129</c:f>
              <c:strCache>
                <c:ptCount val="1"/>
                <c:pt idx="0">
                  <c:v>35 HHISOs (Drigg) Ave. Metal Working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Results'!$A$130:$A$140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Container Results'!$C$130:$C$140</c:f>
              <c:numCache>
                <c:formatCode>0.00E+00</c:formatCode>
                <c:ptCount val="11"/>
                <c:pt idx="0">
                  <c:v>10400</c:v>
                </c:pt>
                <c:pt idx="1">
                  <c:v>50.1</c:v>
                </c:pt>
                <c:pt idx="2">
                  <c:v>60000</c:v>
                </c:pt>
                <c:pt idx="3">
                  <c:v>15500</c:v>
                </c:pt>
                <c:pt idx="4">
                  <c:v>260</c:v>
                </c:pt>
                <c:pt idx="5">
                  <c:v>4.0999999999999996</c:v>
                </c:pt>
                <c:pt idx="6">
                  <c:v>7260</c:v>
                </c:pt>
                <c:pt idx="7">
                  <c:v>1790</c:v>
                </c:pt>
                <c:pt idx="8">
                  <c:v>2880</c:v>
                </c:pt>
                <c:pt idx="9">
                  <c:v>11500</c:v>
                </c:pt>
                <c:pt idx="10">
                  <c:v>30000</c:v>
                </c:pt>
              </c:numCache>
            </c:numRef>
          </c:val>
        </c:ser>
        <c:ser>
          <c:idx val="2"/>
          <c:order val="2"/>
          <c:tx>
            <c:strRef>
              <c:f>'WAGR Container Results'!$D$129</c:f>
              <c:strCache>
                <c:ptCount val="1"/>
                <c:pt idx="0">
                  <c:v>35 HHISOs (Drigg) Ave. Steel Working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Container Results'!$A$130:$A$140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Container Results'!$D$130:$D$140</c:f>
              <c:numCache>
                <c:formatCode>0.00E+00</c:formatCode>
                <c:ptCount val="11"/>
                <c:pt idx="0">
                  <c:v>8580</c:v>
                </c:pt>
                <c:pt idx="1">
                  <c:v>49.5</c:v>
                </c:pt>
                <c:pt idx="2">
                  <c:v>57500</c:v>
                </c:pt>
                <c:pt idx="3">
                  <c:v>15500</c:v>
                </c:pt>
                <c:pt idx="4">
                  <c:v>260</c:v>
                </c:pt>
                <c:pt idx="5">
                  <c:v>4.07</c:v>
                </c:pt>
                <c:pt idx="6">
                  <c:v>5950</c:v>
                </c:pt>
                <c:pt idx="7">
                  <c:v>1740</c:v>
                </c:pt>
                <c:pt idx="8">
                  <c:v>2850</c:v>
                </c:pt>
                <c:pt idx="9">
                  <c:v>9330</c:v>
                </c:pt>
                <c:pt idx="10">
                  <c:v>29700</c:v>
                </c:pt>
              </c:numCache>
            </c:numRef>
          </c:val>
        </c:ser>
        <c:axId val="49144192"/>
        <c:axId val="49146112"/>
      </c:barChart>
      <c:catAx>
        <c:axId val="49144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240743843189816"/>
              <c:y val="0.8834070664243892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146112"/>
        <c:crosses val="autoZero"/>
        <c:auto val="1"/>
        <c:lblAlgn val="ctr"/>
        <c:lblOffset val="100"/>
        <c:tickLblSkip val="1"/>
        <c:tickMarkSkip val="1"/>
      </c:catAx>
      <c:valAx>
        <c:axId val="491461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(Pt)</a:t>
                </a:r>
              </a:p>
            </c:rich>
          </c:tx>
          <c:layout>
            <c:manualLayout>
              <c:xMode val="edge"/>
              <c:yMode val="edge"/>
              <c:x val="1.5823532696710784E-2"/>
              <c:y val="0.14835937815465372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14419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2186986189179833E-2"/>
          <c:y val="1.5384638498555437E-2"/>
          <c:w val="0.90870676732261668"/>
          <c:h val="0.1600002403849765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20843091334894601"/>
          <c:y val="0.2838427947598251"/>
          <c:w val="0.77049198768186811"/>
          <c:h val="0.51528418663824194"/>
        </c:manualLayout>
      </c:layout>
      <c:barChart>
        <c:barDir val="col"/>
        <c:grouping val="stacked"/>
        <c:ser>
          <c:idx val="0"/>
          <c:order val="0"/>
          <c:tx>
            <c:strRef>
              <c:f>'WAGR Disposal Results'!$A$3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'WAGR Disposal Results'!$B$2:$F$2</c:f>
              <c:numCache>
                <c:formatCode>0%</c:formatCode>
                <c:ptCount val="5"/>
                <c:pt idx="0">
                  <c:v>1</c:v>
                </c:pt>
                <c:pt idx="1">
                  <c:v>0.8</c:v>
                </c:pt>
                <c:pt idx="2">
                  <c:v>0.6</c:v>
                </c:pt>
                <c:pt idx="3">
                  <c:v>0.4</c:v>
                </c:pt>
                <c:pt idx="4">
                  <c:v>0.2</c:v>
                </c:pt>
              </c:numCache>
            </c:numRef>
          </c:cat>
          <c:val>
            <c:numRef>
              <c:f>'WAGR Disposal Results'!$B$3:$F$3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Disposal Results'!$A$4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'WAGR Disposal Results'!$B$2:$F$2</c:f>
              <c:numCache>
                <c:formatCode>0%</c:formatCode>
                <c:ptCount val="5"/>
                <c:pt idx="0">
                  <c:v>1</c:v>
                </c:pt>
                <c:pt idx="1">
                  <c:v>0.8</c:v>
                </c:pt>
                <c:pt idx="2">
                  <c:v>0.6</c:v>
                </c:pt>
                <c:pt idx="3">
                  <c:v>0.4</c:v>
                </c:pt>
                <c:pt idx="4">
                  <c:v>0.2</c:v>
                </c:pt>
              </c:numCache>
            </c:numRef>
          </c:cat>
          <c:val>
            <c:numRef>
              <c:f>'WAGR Disposal Results'!$B$4:$F$4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'WAGR Disposal Results'!$A$5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'WAGR Disposal Results'!$B$2:$F$2</c:f>
              <c:numCache>
                <c:formatCode>0%</c:formatCode>
                <c:ptCount val="5"/>
                <c:pt idx="0">
                  <c:v>1</c:v>
                </c:pt>
                <c:pt idx="1">
                  <c:v>0.8</c:v>
                </c:pt>
                <c:pt idx="2">
                  <c:v>0.6</c:v>
                </c:pt>
                <c:pt idx="3">
                  <c:v>0.4</c:v>
                </c:pt>
                <c:pt idx="4">
                  <c:v>0.2</c:v>
                </c:pt>
              </c:numCache>
            </c:numRef>
          </c:cat>
          <c:val>
            <c:numRef>
              <c:f>'WAGR Disposal Results'!$B$5:$F$5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'WAGR Disposal Results'!$A$6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'WAGR Disposal Results'!$B$2:$F$2</c:f>
              <c:numCache>
                <c:formatCode>0%</c:formatCode>
                <c:ptCount val="5"/>
                <c:pt idx="0">
                  <c:v>1</c:v>
                </c:pt>
                <c:pt idx="1">
                  <c:v>0.8</c:v>
                </c:pt>
                <c:pt idx="2">
                  <c:v>0.6</c:v>
                </c:pt>
                <c:pt idx="3">
                  <c:v>0.4</c:v>
                </c:pt>
                <c:pt idx="4">
                  <c:v>0.2</c:v>
                </c:pt>
              </c:numCache>
            </c:numRef>
          </c:cat>
          <c:val>
            <c:numRef>
              <c:f>'WAGR Disposal Results'!$B$6:$F$6</c:f>
              <c:numCache>
                <c:formatCode>General</c:formatCode>
                <c:ptCount val="5"/>
                <c:pt idx="0">
                  <c:v>440</c:v>
                </c:pt>
                <c:pt idx="1">
                  <c:v>440</c:v>
                </c:pt>
                <c:pt idx="2">
                  <c:v>440</c:v>
                </c:pt>
                <c:pt idx="3">
                  <c:v>440</c:v>
                </c:pt>
                <c:pt idx="4">
                  <c:v>440</c:v>
                </c:pt>
              </c:numCache>
            </c:numRef>
          </c:val>
        </c:ser>
        <c:ser>
          <c:idx val="4"/>
          <c:order val="4"/>
          <c:tx>
            <c:strRef>
              <c:f>'WAGR Disposal Results'!$A$7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'WAGR Disposal Results'!$B$2:$F$2</c:f>
              <c:numCache>
                <c:formatCode>0%</c:formatCode>
                <c:ptCount val="5"/>
                <c:pt idx="0">
                  <c:v>1</c:v>
                </c:pt>
                <c:pt idx="1">
                  <c:v>0.8</c:v>
                </c:pt>
                <c:pt idx="2">
                  <c:v>0.6</c:v>
                </c:pt>
                <c:pt idx="3">
                  <c:v>0.4</c:v>
                </c:pt>
                <c:pt idx="4">
                  <c:v>0.2</c:v>
                </c:pt>
              </c:numCache>
            </c:numRef>
          </c:cat>
          <c:val>
            <c:numRef>
              <c:f>'WAGR Disposal Results'!$B$7:$F$7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'WAGR Disposal Results'!$A$8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'WAGR Disposal Results'!$B$2:$F$2</c:f>
              <c:numCache>
                <c:formatCode>0%</c:formatCode>
                <c:ptCount val="5"/>
                <c:pt idx="0">
                  <c:v>1</c:v>
                </c:pt>
                <c:pt idx="1">
                  <c:v>0.8</c:v>
                </c:pt>
                <c:pt idx="2">
                  <c:v>0.6</c:v>
                </c:pt>
                <c:pt idx="3">
                  <c:v>0.4</c:v>
                </c:pt>
                <c:pt idx="4">
                  <c:v>0.2</c:v>
                </c:pt>
              </c:numCache>
            </c:numRef>
          </c:cat>
          <c:val>
            <c:numRef>
              <c:f>'WAGR Disposal Results'!$B$8:$F$8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"/>
          <c:order val="6"/>
          <c:tx>
            <c:strRef>
              <c:f>'WAGR Disposal Results'!$A$9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'WAGR Disposal Results'!$B$2:$F$2</c:f>
              <c:numCache>
                <c:formatCode>0%</c:formatCode>
                <c:ptCount val="5"/>
                <c:pt idx="0">
                  <c:v>1</c:v>
                </c:pt>
                <c:pt idx="1">
                  <c:v>0.8</c:v>
                </c:pt>
                <c:pt idx="2">
                  <c:v>0.6</c:v>
                </c:pt>
                <c:pt idx="3">
                  <c:v>0.4</c:v>
                </c:pt>
                <c:pt idx="4">
                  <c:v>0.2</c:v>
                </c:pt>
              </c:numCache>
            </c:numRef>
          </c:cat>
          <c:val>
            <c:numRef>
              <c:f>'WAGR Disposal Results'!$B$9:$F$9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7"/>
          <c:order val="7"/>
          <c:tx>
            <c:strRef>
              <c:f>'WAGR Disposal Results'!$A$10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'WAGR Disposal Results'!$B$2:$F$2</c:f>
              <c:numCache>
                <c:formatCode>0%</c:formatCode>
                <c:ptCount val="5"/>
                <c:pt idx="0">
                  <c:v>1</c:v>
                </c:pt>
                <c:pt idx="1">
                  <c:v>0.8</c:v>
                </c:pt>
                <c:pt idx="2">
                  <c:v>0.6</c:v>
                </c:pt>
                <c:pt idx="3">
                  <c:v>0.4</c:v>
                </c:pt>
                <c:pt idx="4">
                  <c:v>0.2</c:v>
                </c:pt>
              </c:numCache>
            </c:numRef>
          </c:cat>
          <c:val>
            <c:numRef>
              <c:f>'WAGR Disposal Results'!$B$10:$F$10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8"/>
          <c:order val="8"/>
          <c:tx>
            <c:strRef>
              <c:f>'WAGR Disposal Results'!$A$11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'WAGR Disposal Results'!$B$2:$F$2</c:f>
              <c:numCache>
                <c:formatCode>0%</c:formatCode>
                <c:ptCount val="5"/>
                <c:pt idx="0">
                  <c:v>1</c:v>
                </c:pt>
                <c:pt idx="1">
                  <c:v>0.8</c:v>
                </c:pt>
                <c:pt idx="2">
                  <c:v>0.6</c:v>
                </c:pt>
                <c:pt idx="3">
                  <c:v>0.4</c:v>
                </c:pt>
                <c:pt idx="4">
                  <c:v>0.2</c:v>
                </c:pt>
              </c:numCache>
            </c:numRef>
          </c:cat>
          <c:val>
            <c:numRef>
              <c:f>'WAGR Disposal Results'!$B$11:$F$11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9"/>
          <c:order val="9"/>
          <c:tx>
            <c:strRef>
              <c:f>'WAGR Disposal Results'!$A$12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'WAGR Disposal Results'!$B$2:$F$2</c:f>
              <c:numCache>
                <c:formatCode>0%</c:formatCode>
                <c:ptCount val="5"/>
                <c:pt idx="0">
                  <c:v>1</c:v>
                </c:pt>
                <c:pt idx="1">
                  <c:v>0.8</c:v>
                </c:pt>
                <c:pt idx="2">
                  <c:v>0.6</c:v>
                </c:pt>
                <c:pt idx="3">
                  <c:v>0.4</c:v>
                </c:pt>
                <c:pt idx="4">
                  <c:v>0.2</c:v>
                </c:pt>
              </c:numCache>
            </c:numRef>
          </c:cat>
          <c:val>
            <c:numRef>
              <c:f>'WAGR Disposal Results'!$B$12:$F$12</c:f>
              <c:numCache>
                <c:formatCode>0.00E+00</c:formatCode>
                <c:ptCount val="5"/>
                <c:pt idx="0">
                  <c:v>101000</c:v>
                </c:pt>
                <c:pt idx="1">
                  <c:v>80500</c:v>
                </c:pt>
                <c:pt idx="2">
                  <c:v>60400</c:v>
                </c:pt>
                <c:pt idx="3">
                  <c:v>40200</c:v>
                </c:pt>
                <c:pt idx="4">
                  <c:v>20100</c:v>
                </c:pt>
              </c:numCache>
            </c:numRef>
          </c:val>
        </c:ser>
        <c:ser>
          <c:idx val="10"/>
          <c:order val="10"/>
          <c:tx>
            <c:strRef>
              <c:f>'WAGR Disposal Results'!$A$13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'WAGR Disposal Results'!$B$2:$F$2</c:f>
              <c:numCache>
                <c:formatCode>0%</c:formatCode>
                <c:ptCount val="5"/>
                <c:pt idx="0">
                  <c:v>1</c:v>
                </c:pt>
                <c:pt idx="1">
                  <c:v>0.8</c:v>
                </c:pt>
                <c:pt idx="2">
                  <c:v>0.6</c:v>
                </c:pt>
                <c:pt idx="3">
                  <c:v>0.4</c:v>
                </c:pt>
                <c:pt idx="4">
                  <c:v>0.2</c:v>
                </c:pt>
              </c:numCache>
            </c:numRef>
          </c:cat>
          <c:val>
            <c:numRef>
              <c:f>'WAGR Disposal Results'!$B$13:$F$13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'WAGR Disposal Results'!$A$14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'WAGR Disposal Results'!$B$2:$F$2</c:f>
              <c:numCache>
                <c:formatCode>0%</c:formatCode>
                <c:ptCount val="5"/>
                <c:pt idx="0">
                  <c:v>1</c:v>
                </c:pt>
                <c:pt idx="1">
                  <c:v>0.8</c:v>
                </c:pt>
                <c:pt idx="2">
                  <c:v>0.6</c:v>
                </c:pt>
                <c:pt idx="3">
                  <c:v>0.4</c:v>
                </c:pt>
                <c:pt idx="4">
                  <c:v>0.2</c:v>
                </c:pt>
              </c:numCache>
            </c:numRef>
          </c:cat>
          <c:val>
            <c:numRef>
              <c:f>'WAGR Disposal Results'!$B$14:$F$14</c:f>
              <c:numCache>
                <c:formatCode>0.00E+00</c:formatCode>
                <c:ptCount val="5"/>
                <c:pt idx="0">
                  <c:v>8260</c:v>
                </c:pt>
                <c:pt idx="1">
                  <c:v>8260</c:v>
                </c:pt>
                <c:pt idx="2">
                  <c:v>8260</c:v>
                </c:pt>
                <c:pt idx="3">
                  <c:v>8260</c:v>
                </c:pt>
                <c:pt idx="4">
                  <c:v>8260</c:v>
                </c:pt>
              </c:numCache>
            </c:numRef>
          </c:val>
        </c:ser>
        <c:overlap val="100"/>
        <c:axId val="47848448"/>
        <c:axId val="47871104"/>
      </c:barChart>
      <c:catAx>
        <c:axId val="478484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Waste Disposal Volume</a:t>
                </a:r>
              </a:p>
            </c:rich>
          </c:tx>
          <c:layout>
            <c:manualLayout>
              <c:xMode val="edge"/>
              <c:yMode val="edge"/>
              <c:x val="0.4762886067812952"/>
              <c:y val="0.89166459455725933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871104"/>
        <c:crosses val="autoZero"/>
        <c:auto val="1"/>
        <c:lblAlgn val="ctr"/>
        <c:lblOffset val="100"/>
        <c:tickLblSkip val="1"/>
        <c:tickMarkSkip val="1"/>
      </c:catAx>
      <c:valAx>
        <c:axId val="478711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Eco-Indicator 99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Score (Pt)</a:t>
                </a:r>
              </a:p>
            </c:rich>
          </c:tx>
          <c:layout>
            <c:manualLayout>
              <c:xMode val="edge"/>
              <c:yMode val="edge"/>
              <c:x val="2.6804006642026892E-2"/>
              <c:y val="0.39166619408031061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84844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285728521333427"/>
          <c:y val="5.5248618784530384E-2"/>
          <c:w val="0.76938852179181461"/>
          <c:h val="0.2044198895027624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85819070904645"/>
          <c:y val="0.18584105637237805"/>
          <c:w val="0.79217623163852713"/>
          <c:h val="0.29646087380670311"/>
        </c:manualLayout>
      </c:layout>
      <c:barChart>
        <c:barDir val="col"/>
        <c:grouping val="clustered"/>
        <c:ser>
          <c:idx val="0"/>
          <c:order val="0"/>
          <c:tx>
            <c:strRef>
              <c:f>'WAGR Disposal Results'!$B$18</c:f>
              <c:strCache>
                <c:ptCount val="1"/>
                <c:pt idx="0">
                  <c:v>100% Volume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Results'!$A$19:$A$29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Results'!$B$19:$B$29</c:f>
              <c:numCache>
                <c:formatCode>General</c:formatCode>
                <c:ptCount val="11"/>
                <c:pt idx="0" formatCode="0.00E+00">
                  <c:v>8230</c:v>
                </c:pt>
                <c:pt idx="1">
                  <c:v>45.3</c:v>
                </c:pt>
                <c:pt idx="2" formatCode="0.00E+00">
                  <c:v>44000</c:v>
                </c:pt>
                <c:pt idx="3" formatCode="0.00E+00">
                  <c:v>12500</c:v>
                </c:pt>
                <c:pt idx="4">
                  <c:v>250</c:v>
                </c:pt>
                <c:pt idx="5">
                  <c:v>5.08</c:v>
                </c:pt>
                <c:pt idx="6" formatCode="0.00E+00">
                  <c:v>5210</c:v>
                </c:pt>
                <c:pt idx="7" formatCode="0.00E+00">
                  <c:v>1540</c:v>
                </c:pt>
                <c:pt idx="8" formatCode="0.00E+00">
                  <c:v>2460</c:v>
                </c:pt>
                <c:pt idx="9" formatCode="0.00E+00">
                  <c:v>8100</c:v>
                </c:pt>
                <c:pt idx="10" formatCode="0.00E+00">
                  <c:v>27000</c:v>
                </c:pt>
              </c:numCache>
            </c:numRef>
          </c:val>
        </c:ser>
        <c:ser>
          <c:idx val="1"/>
          <c:order val="1"/>
          <c:tx>
            <c:strRef>
              <c:f>'WAGR Disposal Results'!$C$18</c:f>
              <c:strCache>
                <c:ptCount val="1"/>
                <c:pt idx="0">
                  <c:v>80% Volume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Results'!$A$19:$A$29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Results'!$C$19:$C$29</c:f>
              <c:numCache>
                <c:formatCode>General</c:formatCode>
                <c:ptCount val="11"/>
                <c:pt idx="0" formatCode="0.00E+00">
                  <c:v>6630</c:v>
                </c:pt>
                <c:pt idx="1">
                  <c:v>36.9</c:v>
                </c:pt>
                <c:pt idx="2" formatCode="0.00E+00">
                  <c:v>35800</c:v>
                </c:pt>
                <c:pt idx="3" formatCode="0.00E+00">
                  <c:v>10100</c:v>
                </c:pt>
                <c:pt idx="4">
                  <c:v>201</c:v>
                </c:pt>
                <c:pt idx="5">
                  <c:v>4.42</c:v>
                </c:pt>
                <c:pt idx="6" formatCode="0.00E+00">
                  <c:v>4190</c:v>
                </c:pt>
                <c:pt idx="7" formatCode="0.00E+00">
                  <c:v>1260</c:v>
                </c:pt>
                <c:pt idx="8" formatCode="0.00E+00">
                  <c:v>1950</c:v>
                </c:pt>
                <c:pt idx="9" formatCode="0.00E+00">
                  <c:v>6500</c:v>
                </c:pt>
                <c:pt idx="10" formatCode="0.00E+00">
                  <c:v>22500</c:v>
                </c:pt>
              </c:numCache>
            </c:numRef>
          </c:val>
        </c:ser>
        <c:ser>
          <c:idx val="2"/>
          <c:order val="2"/>
          <c:tx>
            <c:strRef>
              <c:f>'WAGR Disposal Results'!$D$18</c:f>
              <c:strCache>
                <c:ptCount val="1"/>
                <c:pt idx="0">
                  <c:v>60% Volume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Results'!$A$19:$A$29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Results'!$D$19:$D$29</c:f>
              <c:numCache>
                <c:formatCode>General</c:formatCode>
                <c:ptCount val="11"/>
                <c:pt idx="0" formatCode="0.00E+00">
                  <c:v>5020</c:v>
                </c:pt>
                <c:pt idx="1">
                  <c:v>28.6</c:v>
                </c:pt>
                <c:pt idx="2" formatCode="0.00E+00">
                  <c:v>27700</c:v>
                </c:pt>
                <c:pt idx="3" formatCode="0.00E+00">
                  <c:v>7780</c:v>
                </c:pt>
                <c:pt idx="4">
                  <c:v>153</c:v>
                </c:pt>
                <c:pt idx="5">
                  <c:v>3.77</c:v>
                </c:pt>
                <c:pt idx="6" formatCode="0.00E+00">
                  <c:v>3130</c:v>
                </c:pt>
                <c:pt idx="7">
                  <c:v>975</c:v>
                </c:pt>
                <c:pt idx="8" formatCode="0.00E+00">
                  <c:v>1430</c:v>
                </c:pt>
                <c:pt idx="9" formatCode="0.00E+00">
                  <c:v>4910</c:v>
                </c:pt>
                <c:pt idx="10" formatCode="0.00E+00">
                  <c:v>17900</c:v>
                </c:pt>
              </c:numCache>
            </c:numRef>
          </c:val>
        </c:ser>
        <c:ser>
          <c:idx val="3"/>
          <c:order val="3"/>
          <c:tx>
            <c:strRef>
              <c:f>'WAGR Disposal Results'!$E$18</c:f>
              <c:strCache>
                <c:ptCount val="1"/>
                <c:pt idx="0">
                  <c:v>40% Volume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Results'!$A$19:$A$29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Results'!$E$19:$E$29</c:f>
              <c:numCache>
                <c:formatCode>General</c:formatCode>
                <c:ptCount val="11"/>
                <c:pt idx="0" formatCode="0.00E+00">
                  <c:v>3420</c:v>
                </c:pt>
                <c:pt idx="1">
                  <c:v>20.2</c:v>
                </c:pt>
                <c:pt idx="2" formatCode="0.00E+00">
                  <c:v>19500</c:v>
                </c:pt>
                <c:pt idx="3" formatCode="0.00E+00">
                  <c:v>5420</c:v>
                </c:pt>
                <c:pt idx="4">
                  <c:v>104</c:v>
                </c:pt>
                <c:pt idx="5">
                  <c:v>3.11</c:v>
                </c:pt>
                <c:pt idx="6" formatCode="0.00E+00">
                  <c:v>2160</c:v>
                </c:pt>
                <c:pt idx="7">
                  <c:v>691</c:v>
                </c:pt>
                <c:pt idx="8">
                  <c:v>914</c:v>
                </c:pt>
                <c:pt idx="9" formatCode="0.00E+00">
                  <c:v>3310</c:v>
                </c:pt>
                <c:pt idx="10" formatCode="0.00E+00">
                  <c:v>13300</c:v>
                </c:pt>
              </c:numCache>
            </c:numRef>
          </c:val>
        </c:ser>
        <c:ser>
          <c:idx val="4"/>
          <c:order val="4"/>
          <c:tx>
            <c:strRef>
              <c:f>'WAGR Disposal Results'!$F$18</c:f>
              <c:strCache>
                <c:ptCount val="1"/>
                <c:pt idx="0">
                  <c:v>20% Volume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Results'!$A$19:$A$29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Results'!$F$19:$F$29</c:f>
              <c:numCache>
                <c:formatCode>General</c:formatCode>
                <c:ptCount val="11"/>
                <c:pt idx="0" formatCode="0.00E+00">
                  <c:v>1820</c:v>
                </c:pt>
                <c:pt idx="1">
                  <c:v>11.9</c:v>
                </c:pt>
                <c:pt idx="2" formatCode="0.00E+00">
                  <c:v>11400</c:v>
                </c:pt>
                <c:pt idx="3" formatCode="0.00E+00">
                  <c:v>3070</c:v>
                </c:pt>
                <c:pt idx="4">
                  <c:v>55.5</c:v>
                </c:pt>
                <c:pt idx="5">
                  <c:v>2.46</c:v>
                </c:pt>
                <c:pt idx="6" formatCode="0.00E+00">
                  <c:v>1150</c:v>
                </c:pt>
                <c:pt idx="7">
                  <c:v>407</c:v>
                </c:pt>
                <c:pt idx="8">
                  <c:v>397</c:v>
                </c:pt>
                <c:pt idx="9" formatCode="0.00E+00">
                  <c:v>1710</c:v>
                </c:pt>
                <c:pt idx="10" formatCode="0.00E+00">
                  <c:v>8790</c:v>
                </c:pt>
              </c:numCache>
            </c:numRef>
          </c:val>
        </c:ser>
        <c:axId val="49594368"/>
        <c:axId val="49596288"/>
      </c:barChart>
      <c:catAx>
        <c:axId val="49594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17017561645996"/>
              <c:y val="0.8947369362920544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596288"/>
        <c:crosses val="autoZero"/>
        <c:auto val="1"/>
        <c:lblAlgn val="ctr"/>
        <c:lblOffset val="100"/>
        <c:tickLblSkip val="1"/>
        <c:tickMarkSkip val="1"/>
      </c:catAx>
      <c:valAx>
        <c:axId val="495962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Score (Pt)</a:t>
                </a:r>
              </a:p>
            </c:rich>
          </c:tx>
          <c:layout>
            <c:manualLayout>
              <c:xMode val="edge"/>
              <c:yMode val="edge"/>
              <c:x val="2.6971038491433202E-2"/>
              <c:y val="0.12550614411834884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59436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171694955923664"/>
          <c:y val="5.0991501416430593E-2"/>
          <c:w val="0.69313377348546212"/>
          <c:h val="0.1076487252124645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6082474226804097"/>
          <c:y val="4.8192676579998511E-2"/>
          <c:w val="0.70103092783505094"/>
          <c:h val="0.77108282527997707"/>
        </c:manualLayout>
      </c:layout>
      <c:lineChart>
        <c:grouping val="standard"/>
        <c:ser>
          <c:idx val="0"/>
          <c:order val="0"/>
          <c:tx>
            <c:strRef>
              <c:f>'General metal graphs'!$A$122</c:f>
              <c:strCache>
                <c:ptCount val="1"/>
                <c:pt idx="0">
                  <c:v>LLW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3366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'General metal graphs'!$B$121:$H$121</c:f>
              <c:numCache>
                <c:formatCode>General</c:formatCode>
                <c:ptCount val="7"/>
                <c:pt idx="0">
                  <c:v>1991</c:v>
                </c:pt>
                <c:pt idx="1">
                  <c:v>1994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</c:numCache>
            </c:numRef>
          </c:cat>
          <c:val>
            <c:numRef>
              <c:f>'General metal graphs'!$B$122:$H$122</c:f>
              <c:numCache>
                <c:formatCode>General</c:formatCode>
                <c:ptCount val="7"/>
                <c:pt idx="0">
                  <c:v>0.26400000000000001</c:v>
                </c:pt>
                <c:pt idx="1">
                  <c:v>0.997</c:v>
                </c:pt>
                <c:pt idx="2">
                  <c:v>0.69799999999999995</c:v>
                </c:pt>
                <c:pt idx="3">
                  <c:v>0.52900000000000003</c:v>
                </c:pt>
                <c:pt idx="4">
                  <c:v>0.45400000000000001</c:v>
                </c:pt>
                <c:pt idx="5">
                  <c:v>1.1499999999999999</c:v>
                </c:pt>
                <c:pt idx="6">
                  <c:v>0.77700000000000002</c:v>
                </c:pt>
              </c:numCache>
            </c:numRef>
          </c:val>
        </c:ser>
        <c:ser>
          <c:idx val="1"/>
          <c:order val="1"/>
          <c:tx>
            <c:strRef>
              <c:f>'General metal graphs'!$A$123</c:f>
              <c:strCache>
                <c:ptCount val="1"/>
                <c:pt idx="0">
                  <c:v>ILW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'General metal graphs'!$B$121:$H$121</c:f>
              <c:numCache>
                <c:formatCode>General</c:formatCode>
                <c:ptCount val="7"/>
                <c:pt idx="0">
                  <c:v>1991</c:v>
                </c:pt>
                <c:pt idx="1">
                  <c:v>1994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</c:numCache>
            </c:numRef>
          </c:cat>
          <c:val>
            <c:numRef>
              <c:f>'General metal graphs'!$B$123:$H$123</c:f>
              <c:numCache>
                <c:formatCode>General</c:formatCode>
                <c:ptCount val="7"/>
                <c:pt idx="0">
                  <c:v>0.14099999999999999</c:v>
                </c:pt>
                <c:pt idx="1">
                  <c:v>0.11799999999999999</c:v>
                </c:pt>
                <c:pt idx="2">
                  <c:v>7.9000000000000001E-2</c:v>
                </c:pt>
                <c:pt idx="3">
                  <c:v>7.2999999999999995E-2</c:v>
                </c:pt>
                <c:pt idx="4">
                  <c:v>7.4999999999999997E-2</c:v>
                </c:pt>
                <c:pt idx="5">
                  <c:v>8.5999999999999993E-2</c:v>
                </c:pt>
                <c:pt idx="6">
                  <c:v>0.10199999999999999</c:v>
                </c:pt>
              </c:numCache>
            </c:numRef>
          </c:val>
        </c:ser>
        <c:marker val="1"/>
        <c:axId val="52645888"/>
        <c:axId val="52648192"/>
      </c:lineChart>
      <c:catAx>
        <c:axId val="526458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5824867941776576"/>
              <c:y val="0.9428975485713010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648192"/>
        <c:crosses val="autoZero"/>
        <c:auto val="1"/>
        <c:lblAlgn val="ctr"/>
        <c:lblOffset val="100"/>
        <c:tickLblSkip val="1"/>
        <c:tickMarkSkip val="1"/>
      </c:catAx>
      <c:valAx>
        <c:axId val="526481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Mass (Million tonnes)</a:t>
                </a:r>
              </a:p>
            </c:rich>
          </c:tx>
          <c:layout>
            <c:manualLayout>
              <c:xMode val="edge"/>
              <c:yMode val="edge"/>
              <c:x val="2.6476672462620806E-2"/>
              <c:y val="0.4307694824265946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64588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160327986285216"/>
          <c:y val="0.43848447070301916"/>
          <c:w val="0.15845715696536183"/>
          <c:h val="0.1054582904222451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4590747330960901"/>
          <c:y val="0.26778275623496905"/>
          <c:w val="0.83629907249138324"/>
          <c:h val="0.51882911079629701"/>
        </c:manualLayout>
      </c:layout>
      <c:barChart>
        <c:barDir val="col"/>
        <c:grouping val="stacked"/>
        <c:ser>
          <c:idx val="0"/>
          <c:order val="0"/>
          <c:tx>
            <c:strRef>
              <c:f>'WAGR Disposal Results'!$A$34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Results'!$B$33:$D$33</c:f>
              <c:strCache>
                <c:ptCount val="3"/>
                <c:pt idx="0">
                  <c:v>LLW Disposal</c:v>
                </c:pt>
                <c:pt idx="1">
                  <c:v>Interim Storage</c:v>
                </c:pt>
                <c:pt idx="2">
                  <c:v>HLW Disposal</c:v>
                </c:pt>
              </c:strCache>
            </c:strRef>
          </c:cat>
          <c:val>
            <c:numRef>
              <c:f>'WAGR Disposal Results'!$B$34:$D$34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Disposal Results'!$A$35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Results'!$B$33:$D$33</c:f>
              <c:strCache>
                <c:ptCount val="3"/>
                <c:pt idx="0">
                  <c:v>LLW Disposal</c:v>
                </c:pt>
                <c:pt idx="1">
                  <c:v>Interim Storage</c:v>
                </c:pt>
                <c:pt idx="2">
                  <c:v>HLW Disposal</c:v>
                </c:pt>
              </c:strCache>
            </c:strRef>
          </c:cat>
          <c:val>
            <c:numRef>
              <c:f>'WAGR Disposal Results'!$B$35:$D$35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'WAGR Disposal Results'!$A$36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Results'!$B$33:$D$33</c:f>
              <c:strCache>
                <c:ptCount val="3"/>
                <c:pt idx="0">
                  <c:v>LLW Disposal</c:v>
                </c:pt>
                <c:pt idx="1">
                  <c:v>Interim Storage</c:v>
                </c:pt>
                <c:pt idx="2">
                  <c:v>HLW Disposal</c:v>
                </c:pt>
              </c:strCache>
            </c:strRef>
          </c:cat>
          <c:val>
            <c:numRef>
              <c:f>'WAGR Disposal Results'!$B$36:$D$36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'WAGR Disposal Results'!$A$37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Results'!$B$33:$D$33</c:f>
              <c:strCache>
                <c:ptCount val="3"/>
                <c:pt idx="0">
                  <c:v>LLW Disposal</c:v>
                </c:pt>
                <c:pt idx="1">
                  <c:v>Interim Storage</c:v>
                </c:pt>
                <c:pt idx="2">
                  <c:v>HLW Disposal</c:v>
                </c:pt>
              </c:strCache>
            </c:strRef>
          </c:cat>
          <c:val>
            <c:numRef>
              <c:f>'WAGR Disposal Results'!$B$37:$D$37</c:f>
              <c:numCache>
                <c:formatCode>General</c:formatCode>
                <c:ptCount val="3"/>
                <c:pt idx="0">
                  <c:v>440</c:v>
                </c:pt>
                <c:pt idx="1">
                  <c:v>440</c:v>
                </c:pt>
                <c:pt idx="2">
                  <c:v>440</c:v>
                </c:pt>
              </c:numCache>
            </c:numRef>
          </c:val>
        </c:ser>
        <c:ser>
          <c:idx val="4"/>
          <c:order val="4"/>
          <c:tx>
            <c:strRef>
              <c:f>'WAGR Disposal Results'!$A$38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Results'!$B$33:$D$33</c:f>
              <c:strCache>
                <c:ptCount val="3"/>
                <c:pt idx="0">
                  <c:v>LLW Disposal</c:v>
                </c:pt>
                <c:pt idx="1">
                  <c:v>Interim Storage</c:v>
                </c:pt>
                <c:pt idx="2">
                  <c:v>HLW Disposal</c:v>
                </c:pt>
              </c:strCache>
            </c:strRef>
          </c:cat>
          <c:val>
            <c:numRef>
              <c:f>'WAGR Disposal Results'!$B$38:$D$38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strRef>
              <c:f>'WAGR Disposal Results'!$A$39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Results'!$B$33:$D$33</c:f>
              <c:strCache>
                <c:ptCount val="3"/>
                <c:pt idx="0">
                  <c:v>LLW Disposal</c:v>
                </c:pt>
                <c:pt idx="1">
                  <c:v>Interim Storage</c:v>
                </c:pt>
                <c:pt idx="2">
                  <c:v>HLW Disposal</c:v>
                </c:pt>
              </c:strCache>
            </c:strRef>
          </c:cat>
          <c:val>
            <c:numRef>
              <c:f>'WAGR Disposal Results'!$B$39:$D$39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'WAGR Disposal Results'!$A$40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Results'!$B$33:$D$33</c:f>
              <c:strCache>
                <c:ptCount val="3"/>
                <c:pt idx="0">
                  <c:v>LLW Disposal</c:v>
                </c:pt>
                <c:pt idx="1">
                  <c:v>Interim Storage</c:v>
                </c:pt>
                <c:pt idx="2">
                  <c:v>HLW Disposal</c:v>
                </c:pt>
              </c:strCache>
            </c:strRef>
          </c:cat>
          <c:val>
            <c:numRef>
              <c:f>'WAGR Disposal Results'!$B$40:$D$40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'WAGR Disposal Results'!$A$41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Results'!$B$33:$D$33</c:f>
              <c:strCache>
                <c:ptCount val="3"/>
                <c:pt idx="0">
                  <c:v>LLW Disposal</c:v>
                </c:pt>
                <c:pt idx="1">
                  <c:v>Interim Storage</c:v>
                </c:pt>
                <c:pt idx="2">
                  <c:v>HLW Disposal</c:v>
                </c:pt>
              </c:strCache>
            </c:strRef>
          </c:cat>
          <c:val>
            <c:numRef>
              <c:f>'WAGR Disposal Results'!$B$41:$D$41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8"/>
          <c:order val="8"/>
          <c:tx>
            <c:strRef>
              <c:f>'WAGR Disposal Results'!$A$42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Results'!$B$33:$D$33</c:f>
              <c:strCache>
                <c:ptCount val="3"/>
                <c:pt idx="0">
                  <c:v>LLW Disposal</c:v>
                </c:pt>
                <c:pt idx="1">
                  <c:v>Interim Storage</c:v>
                </c:pt>
                <c:pt idx="2">
                  <c:v>HLW Disposal</c:v>
                </c:pt>
              </c:strCache>
            </c:strRef>
          </c:cat>
          <c:val>
            <c:numRef>
              <c:f>'WAGR Disposal Results'!$B$42:$D$42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9"/>
          <c:order val="9"/>
          <c:tx>
            <c:strRef>
              <c:f>'WAGR Disposal Results'!$A$43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delete val="1"/>
          </c:dLbls>
          <c:cat>
            <c:strRef>
              <c:f>'WAGR Disposal Results'!$B$33:$D$33</c:f>
              <c:strCache>
                <c:ptCount val="3"/>
                <c:pt idx="0">
                  <c:v>LLW Disposal</c:v>
                </c:pt>
                <c:pt idx="1">
                  <c:v>Interim Storage</c:v>
                </c:pt>
                <c:pt idx="2">
                  <c:v>HLW Disposal</c:v>
                </c:pt>
              </c:strCache>
            </c:strRef>
          </c:cat>
          <c:val>
            <c:numRef>
              <c:f>'WAGR Disposal Results'!$B$43:$D$43</c:f>
              <c:numCache>
                <c:formatCode>0.00E+00</c:formatCode>
                <c:ptCount val="3"/>
                <c:pt idx="0">
                  <c:v>101000</c:v>
                </c:pt>
                <c:pt idx="1">
                  <c:v>179000</c:v>
                </c:pt>
                <c:pt idx="2">
                  <c:v>1200000</c:v>
                </c:pt>
              </c:numCache>
            </c:numRef>
          </c:val>
        </c:ser>
        <c:ser>
          <c:idx val="10"/>
          <c:order val="10"/>
          <c:tx>
            <c:strRef>
              <c:f>'WAGR Disposal Results'!$A$44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Results'!$B$33:$D$33</c:f>
              <c:strCache>
                <c:ptCount val="3"/>
                <c:pt idx="0">
                  <c:v>LLW Disposal</c:v>
                </c:pt>
                <c:pt idx="1">
                  <c:v>Interim Storage</c:v>
                </c:pt>
                <c:pt idx="2">
                  <c:v>HLW Disposal</c:v>
                </c:pt>
              </c:strCache>
            </c:strRef>
          </c:cat>
          <c:val>
            <c:numRef>
              <c:f>'WAGR Disposal Results'!$B$44:$D$44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'WAGR Disposal Results'!$A$45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Results'!$B$33:$D$33</c:f>
              <c:strCache>
                <c:ptCount val="3"/>
                <c:pt idx="0">
                  <c:v>LLW Disposal</c:v>
                </c:pt>
                <c:pt idx="1">
                  <c:v>Interim Storage</c:v>
                </c:pt>
                <c:pt idx="2">
                  <c:v>HLW Disposal</c:v>
                </c:pt>
              </c:strCache>
            </c:strRef>
          </c:cat>
          <c:val>
            <c:numRef>
              <c:f>'WAGR Disposal Results'!$B$45:$D$45</c:f>
              <c:numCache>
                <c:formatCode>0.00E+00</c:formatCode>
                <c:ptCount val="3"/>
                <c:pt idx="0">
                  <c:v>8260</c:v>
                </c:pt>
                <c:pt idx="1">
                  <c:v>8260</c:v>
                </c:pt>
                <c:pt idx="2">
                  <c:v>8260</c:v>
                </c:pt>
              </c:numCache>
            </c:numRef>
          </c:val>
        </c:ser>
        <c:overlap val="100"/>
        <c:axId val="51850624"/>
        <c:axId val="51860992"/>
      </c:barChart>
      <c:catAx>
        <c:axId val="518506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Facility Type</a:t>
                </a:r>
              </a:p>
            </c:rich>
          </c:tx>
          <c:layout>
            <c:manualLayout>
              <c:xMode val="edge"/>
              <c:yMode val="edge"/>
              <c:x val="0.50547424540682417"/>
              <c:y val="0.89473753280839896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860992"/>
        <c:crosses val="autoZero"/>
        <c:auto val="1"/>
        <c:lblAlgn val="ctr"/>
        <c:lblOffset val="100"/>
        <c:tickLblSkip val="1"/>
        <c:tickMarkSkip val="1"/>
      </c:catAx>
      <c:valAx>
        <c:axId val="518609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Score (Pt)</a:t>
                </a:r>
              </a:p>
            </c:rich>
          </c:tx>
          <c:layout>
            <c:manualLayout>
              <c:xMode val="edge"/>
              <c:yMode val="edge"/>
              <c:x val="2.3722440944881892E-2"/>
              <c:y val="0.3117411216455086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85062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705148205928238"/>
          <c:y val="3.5714285714285712E-2"/>
          <c:w val="0.59126365054602181"/>
          <c:h val="0.1836734693877551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436439889826299"/>
          <c:y val="0.19999949919997206"/>
          <c:w val="0.87666095074540507"/>
          <c:h val="0.27692238350765314"/>
        </c:manualLayout>
      </c:layout>
      <c:barChart>
        <c:barDir val="col"/>
        <c:grouping val="clustered"/>
        <c:ser>
          <c:idx val="0"/>
          <c:order val="0"/>
          <c:tx>
            <c:strRef>
              <c:f>'WAGR Disposal Results'!$B$49</c:f>
              <c:strCache>
                <c:ptCount val="1"/>
                <c:pt idx="0">
                  <c:v>LLW Disposal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Results'!$A$50:$A$60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Results'!$B$50:$B$60</c:f>
              <c:numCache>
                <c:formatCode>General</c:formatCode>
                <c:ptCount val="11"/>
                <c:pt idx="0">
                  <c:v>19.440000000000001</c:v>
                </c:pt>
                <c:pt idx="1">
                  <c:v>0.113</c:v>
                </c:pt>
                <c:pt idx="2">
                  <c:v>108.9</c:v>
                </c:pt>
                <c:pt idx="3">
                  <c:v>31.6</c:v>
                </c:pt>
                <c:pt idx="4">
                  <c:v>0.58699999999999997</c:v>
                </c:pt>
                <c:pt idx="5">
                  <c:v>1.66E-2</c:v>
                </c:pt>
                <c:pt idx="6">
                  <c:v>12.15</c:v>
                </c:pt>
                <c:pt idx="7">
                  <c:v>3.9</c:v>
                </c:pt>
                <c:pt idx="8">
                  <c:v>5.24</c:v>
                </c:pt>
                <c:pt idx="9">
                  <c:v>37.08</c:v>
                </c:pt>
                <c:pt idx="10">
                  <c:v>146.69999999999999</c:v>
                </c:pt>
              </c:numCache>
            </c:numRef>
          </c:val>
        </c:ser>
        <c:ser>
          <c:idx val="1"/>
          <c:order val="1"/>
          <c:tx>
            <c:strRef>
              <c:f>'WAGR Disposal Results'!$C$49</c:f>
              <c:strCache>
                <c:ptCount val="1"/>
                <c:pt idx="0">
                  <c:v>Interim Storage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Results'!$A$50:$A$60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Results'!$C$50:$C$60</c:f>
              <c:numCache>
                <c:formatCode>General</c:formatCode>
                <c:ptCount val="11"/>
                <c:pt idx="0">
                  <c:v>29.4</c:v>
                </c:pt>
                <c:pt idx="1">
                  <c:v>0.16600000000000001</c:v>
                </c:pt>
                <c:pt idx="2">
                  <c:v>190</c:v>
                </c:pt>
                <c:pt idx="3">
                  <c:v>57.5</c:v>
                </c:pt>
                <c:pt idx="4">
                  <c:v>4.7300000000000004</c:v>
                </c:pt>
                <c:pt idx="5">
                  <c:v>2.7300000000000001E-2</c:v>
                </c:pt>
                <c:pt idx="6">
                  <c:v>17.2</c:v>
                </c:pt>
                <c:pt idx="7">
                  <c:v>6.91</c:v>
                </c:pt>
                <c:pt idx="8">
                  <c:v>11.6</c:v>
                </c:pt>
                <c:pt idx="9">
                  <c:v>46.5</c:v>
                </c:pt>
                <c:pt idx="10">
                  <c:v>259</c:v>
                </c:pt>
              </c:numCache>
            </c:numRef>
          </c:val>
        </c:ser>
        <c:ser>
          <c:idx val="2"/>
          <c:order val="2"/>
          <c:tx>
            <c:strRef>
              <c:f>'WAGR Disposal Results'!$D$49</c:f>
              <c:strCache>
                <c:ptCount val="1"/>
                <c:pt idx="0">
                  <c:v>HLW Disposal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Results'!$A$50:$A$60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Results'!$D$50:$D$60</c:f>
              <c:numCache>
                <c:formatCode>General</c:formatCode>
                <c:ptCount val="11"/>
                <c:pt idx="0">
                  <c:v>177</c:v>
                </c:pt>
                <c:pt idx="1">
                  <c:v>1.1299999999999999</c:v>
                </c:pt>
                <c:pt idx="2" formatCode="0.00E+00">
                  <c:v>1250</c:v>
                </c:pt>
                <c:pt idx="3">
                  <c:v>280</c:v>
                </c:pt>
                <c:pt idx="4">
                  <c:v>6.53</c:v>
                </c:pt>
                <c:pt idx="5">
                  <c:v>0.27</c:v>
                </c:pt>
                <c:pt idx="6">
                  <c:v>113</c:v>
                </c:pt>
                <c:pt idx="7">
                  <c:v>42.5</c:v>
                </c:pt>
                <c:pt idx="8">
                  <c:v>27.1</c:v>
                </c:pt>
                <c:pt idx="9">
                  <c:v>330</c:v>
                </c:pt>
                <c:pt idx="10" formatCode="0.00E+00">
                  <c:v>1930</c:v>
                </c:pt>
              </c:numCache>
            </c:numRef>
          </c:val>
        </c:ser>
        <c:axId val="51894912"/>
        <c:axId val="51901184"/>
      </c:barChart>
      <c:catAx>
        <c:axId val="518949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33210296387370186"/>
              <c:y val="0.8656709631041342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901184"/>
        <c:crosses val="autoZero"/>
        <c:auto val="1"/>
        <c:lblAlgn val="ctr"/>
        <c:lblOffset val="100"/>
        <c:tickLblSkip val="1"/>
        <c:tickMarkSkip val="1"/>
      </c:catAx>
      <c:valAx>
        <c:axId val="519011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7675377787078941E-2"/>
              <c:y val="0.1990046307905779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89491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285714285714285"/>
          <c:y val="6.0702970096236798E-2"/>
          <c:w val="0.57641196013289031"/>
          <c:h val="8.945700856287527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3246277706962301"/>
          <c:y val="0.17021311962499902"/>
          <c:w val="0.84328415824604896"/>
          <c:h val="0.28085164738124907"/>
        </c:manualLayout>
      </c:layout>
      <c:barChart>
        <c:barDir val="col"/>
        <c:grouping val="clustered"/>
        <c:ser>
          <c:idx val="0"/>
          <c:order val="0"/>
          <c:tx>
            <c:strRef>
              <c:f>'WAGR Disposal Results'!$B$62</c:f>
              <c:strCache>
                <c:ptCount val="1"/>
                <c:pt idx="0">
                  <c:v>LLW Disposal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Results'!$A$63:$A$73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Results'!$B$63:$B$73</c:f>
              <c:numCache>
                <c:formatCode>General</c:formatCode>
                <c:ptCount val="11"/>
                <c:pt idx="0" formatCode="0.00E+00">
                  <c:v>8230</c:v>
                </c:pt>
                <c:pt idx="1">
                  <c:v>45.3</c:v>
                </c:pt>
                <c:pt idx="2" formatCode="0.00E+00">
                  <c:v>44000</c:v>
                </c:pt>
                <c:pt idx="3" formatCode="0.00E+00">
                  <c:v>12500</c:v>
                </c:pt>
                <c:pt idx="4">
                  <c:v>250</c:v>
                </c:pt>
                <c:pt idx="5">
                  <c:v>5.08</c:v>
                </c:pt>
                <c:pt idx="6" formatCode="0.00E+00">
                  <c:v>5210</c:v>
                </c:pt>
                <c:pt idx="7" formatCode="0.00E+00">
                  <c:v>1540</c:v>
                </c:pt>
                <c:pt idx="8" formatCode="0.00E+00">
                  <c:v>2460</c:v>
                </c:pt>
                <c:pt idx="9" formatCode="0.00E+00">
                  <c:v>8100</c:v>
                </c:pt>
                <c:pt idx="10" formatCode="0.00E+00">
                  <c:v>27000</c:v>
                </c:pt>
              </c:numCache>
            </c:numRef>
          </c:val>
        </c:ser>
        <c:ser>
          <c:idx val="1"/>
          <c:order val="1"/>
          <c:tx>
            <c:strRef>
              <c:f>'WAGR Disposal Results'!$C$62</c:f>
              <c:strCache>
                <c:ptCount val="1"/>
                <c:pt idx="0">
                  <c:v>Interim Storage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Results'!$A$63:$A$73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Results'!$C$63:$C$73</c:f>
              <c:numCache>
                <c:formatCode>General</c:formatCode>
                <c:ptCount val="11"/>
                <c:pt idx="0" formatCode="0.00E+00">
                  <c:v>11800</c:v>
                </c:pt>
                <c:pt idx="1">
                  <c:v>66.2</c:v>
                </c:pt>
                <c:pt idx="2" formatCode="0.00E+00">
                  <c:v>76000</c:v>
                </c:pt>
                <c:pt idx="3" formatCode="0.00E+00">
                  <c:v>23000</c:v>
                </c:pt>
                <c:pt idx="4" formatCode="0.00E+00">
                  <c:v>1890</c:v>
                </c:pt>
                <c:pt idx="5">
                  <c:v>10.9</c:v>
                </c:pt>
                <c:pt idx="6" formatCode="0.00E+00">
                  <c:v>6870</c:v>
                </c:pt>
                <c:pt idx="7" formatCode="0.00E+00">
                  <c:v>2770</c:v>
                </c:pt>
                <c:pt idx="8" formatCode="0.00E+00">
                  <c:v>4650</c:v>
                </c:pt>
                <c:pt idx="9" formatCode="0.00E+00">
                  <c:v>9310</c:v>
                </c:pt>
                <c:pt idx="10" formatCode="0.00E+00">
                  <c:v>51700</c:v>
                </c:pt>
              </c:numCache>
            </c:numRef>
          </c:val>
        </c:ser>
        <c:ser>
          <c:idx val="2"/>
          <c:order val="2"/>
          <c:tx>
            <c:strRef>
              <c:f>'WAGR Disposal Results'!$D$62</c:f>
              <c:strCache>
                <c:ptCount val="1"/>
                <c:pt idx="0">
                  <c:v>HLW Disposal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Results'!$A$63:$A$73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Results'!$D$63:$D$73</c:f>
              <c:numCache>
                <c:formatCode>General</c:formatCode>
                <c:ptCount val="11"/>
                <c:pt idx="0" formatCode="0.00E+00">
                  <c:v>70800</c:v>
                </c:pt>
                <c:pt idx="1">
                  <c:v>452</c:v>
                </c:pt>
                <c:pt idx="2" formatCode="0.00E+00">
                  <c:v>501000</c:v>
                </c:pt>
                <c:pt idx="3" formatCode="0.00E+00">
                  <c:v>112000</c:v>
                </c:pt>
                <c:pt idx="4" formatCode="0.00E+00">
                  <c:v>2610</c:v>
                </c:pt>
                <c:pt idx="5">
                  <c:v>108</c:v>
                </c:pt>
                <c:pt idx="6" formatCode="0.00E+00">
                  <c:v>45100</c:v>
                </c:pt>
                <c:pt idx="7" formatCode="0.00E+00">
                  <c:v>17000</c:v>
                </c:pt>
                <c:pt idx="8" formatCode="0.00E+00">
                  <c:v>10900</c:v>
                </c:pt>
                <c:pt idx="9" formatCode="0.00E+00">
                  <c:v>66000</c:v>
                </c:pt>
                <c:pt idx="10" formatCode="0.00E+00">
                  <c:v>387000</c:v>
                </c:pt>
              </c:numCache>
            </c:numRef>
          </c:val>
        </c:ser>
        <c:axId val="61409152"/>
        <c:axId val="61423616"/>
      </c:barChart>
      <c:catAx>
        <c:axId val="614091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267360934721871"/>
              <c:y val="0.890294922812067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423616"/>
        <c:crosses val="autoZero"/>
        <c:auto val="1"/>
        <c:lblAlgn val="ctr"/>
        <c:lblOffset val="100"/>
        <c:tickLblSkip val="1"/>
        <c:tickMarkSkip val="1"/>
      </c:catAx>
      <c:valAx>
        <c:axId val="614236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Score (Pt)</a:t>
                </a:r>
              </a:p>
            </c:rich>
          </c:tx>
          <c:layout>
            <c:manualLayout>
              <c:xMode val="edge"/>
              <c:yMode val="edge"/>
              <c:x val="2.380966895267124E-2"/>
              <c:y val="0.10970479496514549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409152"/>
        <c:crosses val="autoZero"/>
        <c:crossBetween val="between"/>
        <c:minorUnit val="10000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311835268448404"/>
          <c:y val="3.763450739905546E-2"/>
          <c:w val="0.2778677474597917"/>
          <c:h val="6.989265659824585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4367822811818498"/>
          <c:y val="0.24705870526065299"/>
          <c:w val="0.83141801337722898"/>
          <c:h val="0.51764681102232202"/>
        </c:manualLayout>
      </c:layout>
      <c:barChart>
        <c:barDir val="col"/>
        <c:grouping val="stacked"/>
        <c:ser>
          <c:idx val="0"/>
          <c:order val="0"/>
          <c:tx>
            <c:strRef>
              <c:f>'WAGR Disposal Results'!$A$78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'WAGR Disposal Results'!$B$77:$C$77</c:f>
              <c:numCache>
                <c:formatCode>0%</c:formatCode>
                <c:ptCount val="2"/>
                <c:pt idx="0">
                  <c:v>0.1</c:v>
                </c:pt>
                <c:pt idx="1">
                  <c:v>0.2</c:v>
                </c:pt>
              </c:numCache>
            </c:numRef>
          </c:cat>
          <c:val>
            <c:numRef>
              <c:f>'WAGR Disposal Results'!$B$78:$C$78</c:f>
              <c:numCache>
                <c:formatCode>0.00E+00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Disposal Results'!$A$79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'WAGR Disposal Results'!$B$77:$C$77</c:f>
              <c:numCache>
                <c:formatCode>0%</c:formatCode>
                <c:ptCount val="2"/>
                <c:pt idx="0">
                  <c:v>0.1</c:v>
                </c:pt>
                <c:pt idx="1">
                  <c:v>0.2</c:v>
                </c:pt>
              </c:numCache>
            </c:numRef>
          </c:cat>
          <c:val>
            <c:numRef>
              <c:f>'WAGR Disposal Results'!$B$79:$C$79</c:f>
              <c:numCache>
                <c:formatCode>0.00E+00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'WAGR Disposal Results'!$A$80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'WAGR Disposal Results'!$B$77:$C$77</c:f>
              <c:numCache>
                <c:formatCode>0%</c:formatCode>
                <c:ptCount val="2"/>
                <c:pt idx="0">
                  <c:v>0.1</c:v>
                </c:pt>
                <c:pt idx="1">
                  <c:v>0.2</c:v>
                </c:pt>
              </c:numCache>
            </c:numRef>
          </c:cat>
          <c:val>
            <c:numRef>
              <c:f>'WAGR Disposal Results'!$B$80:$C$80</c:f>
              <c:numCache>
                <c:formatCode>0.00E+00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'WAGR Disposal Results'!$A$81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'WAGR Disposal Results'!$B$77:$C$77</c:f>
              <c:numCache>
                <c:formatCode>0%</c:formatCode>
                <c:ptCount val="2"/>
                <c:pt idx="0">
                  <c:v>0.1</c:v>
                </c:pt>
                <c:pt idx="1">
                  <c:v>0.2</c:v>
                </c:pt>
              </c:numCache>
            </c:numRef>
          </c:cat>
          <c:val>
            <c:numRef>
              <c:f>'WAGR Disposal Results'!$B$81:$C$81</c:f>
              <c:numCache>
                <c:formatCode>General</c:formatCode>
                <c:ptCount val="2"/>
                <c:pt idx="0">
                  <c:v>440</c:v>
                </c:pt>
                <c:pt idx="1">
                  <c:v>440</c:v>
                </c:pt>
              </c:numCache>
            </c:numRef>
          </c:val>
        </c:ser>
        <c:ser>
          <c:idx val="4"/>
          <c:order val="4"/>
          <c:tx>
            <c:strRef>
              <c:f>'WAGR Disposal Results'!$A$82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'WAGR Disposal Results'!$B$77:$C$77</c:f>
              <c:numCache>
                <c:formatCode>0%</c:formatCode>
                <c:ptCount val="2"/>
                <c:pt idx="0">
                  <c:v>0.1</c:v>
                </c:pt>
                <c:pt idx="1">
                  <c:v>0.2</c:v>
                </c:pt>
              </c:numCache>
            </c:numRef>
          </c:cat>
          <c:val>
            <c:numRef>
              <c:f>'WAGR Disposal Results'!$B$82:$C$82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5"/>
          <c:order val="5"/>
          <c:tx>
            <c:strRef>
              <c:f>'WAGR Disposal Results'!$A$83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'WAGR Disposal Results'!$B$77:$C$77</c:f>
              <c:numCache>
                <c:formatCode>0%</c:formatCode>
                <c:ptCount val="2"/>
                <c:pt idx="0">
                  <c:v>0.1</c:v>
                </c:pt>
                <c:pt idx="1">
                  <c:v>0.2</c:v>
                </c:pt>
              </c:numCache>
            </c:numRef>
          </c:cat>
          <c:val>
            <c:numRef>
              <c:f>'WAGR Disposal Results'!$B$83:$C$83</c:f>
              <c:numCache>
                <c:formatCode>0.00E+00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6"/>
          <c:order val="6"/>
          <c:tx>
            <c:strRef>
              <c:f>'WAGR Disposal Results'!$A$84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'WAGR Disposal Results'!$B$77:$C$77</c:f>
              <c:numCache>
                <c:formatCode>0%</c:formatCode>
                <c:ptCount val="2"/>
                <c:pt idx="0">
                  <c:v>0.1</c:v>
                </c:pt>
                <c:pt idx="1">
                  <c:v>0.2</c:v>
                </c:pt>
              </c:numCache>
            </c:numRef>
          </c:cat>
          <c:val>
            <c:numRef>
              <c:f>'WAGR Disposal Results'!$B$84:$C$84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7"/>
          <c:order val="7"/>
          <c:tx>
            <c:strRef>
              <c:f>'WAGR Disposal Results'!$A$85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'WAGR Disposal Results'!$B$77:$C$77</c:f>
              <c:numCache>
                <c:formatCode>0%</c:formatCode>
                <c:ptCount val="2"/>
                <c:pt idx="0">
                  <c:v>0.1</c:v>
                </c:pt>
                <c:pt idx="1">
                  <c:v>0.2</c:v>
                </c:pt>
              </c:numCache>
            </c:numRef>
          </c:cat>
          <c:val>
            <c:numRef>
              <c:f>'WAGR Disposal Results'!$B$85:$C$85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8"/>
          <c:order val="8"/>
          <c:tx>
            <c:strRef>
              <c:f>'WAGR Disposal Results'!$A$86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'WAGR Disposal Results'!$B$77:$C$77</c:f>
              <c:numCache>
                <c:formatCode>0%</c:formatCode>
                <c:ptCount val="2"/>
                <c:pt idx="0">
                  <c:v>0.1</c:v>
                </c:pt>
                <c:pt idx="1">
                  <c:v>0.2</c:v>
                </c:pt>
              </c:numCache>
            </c:numRef>
          </c:cat>
          <c:val>
            <c:numRef>
              <c:f>'WAGR Disposal Results'!$B$86:$C$86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9"/>
          <c:order val="9"/>
          <c:tx>
            <c:strRef>
              <c:f>'WAGR Disposal Results'!$A$87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numRef>
              <c:f>'WAGR Disposal Results'!$B$77:$C$77</c:f>
              <c:numCache>
                <c:formatCode>0%</c:formatCode>
                <c:ptCount val="2"/>
                <c:pt idx="0">
                  <c:v>0.1</c:v>
                </c:pt>
                <c:pt idx="1">
                  <c:v>0.2</c:v>
                </c:pt>
              </c:numCache>
            </c:numRef>
          </c:cat>
          <c:val>
            <c:numRef>
              <c:f>'WAGR Disposal Results'!$B$87:$C$87</c:f>
              <c:numCache>
                <c:formatCode>0.00E+00</c:formatCode>
                <c:ptCount val="2"/>
                <c:pt idx="0">
                  <c:v>101000</c:v>
                </c:pt>
                <c:pt idx="1">
                  <c:v>101000</c:v>
                </c:pt>
              </c:numCache>
            </c:numRef>
          </c:val>
        </c:ser>
        <c:ser>
          <c:idx val="10"/>
          <c:order val="10"/>
          <c:tx>
            <c:strRef>
              <c:f>'WAGR Disposal Results'!$A$88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'WAGR Disposal Results'!$B$77:$C$77</c:f>
              <c:numCache>
                <c:formatCode>0%</c:formatCode>
                <c:ptCount val="2"/>
                <c:pt idx="0">
                  <c:v>0.1</c:v>
                </c:pt>
                <c:pt idx="1">
                  <c:v>0.2</c:v>
                </c:pt>
              </c:numCache>
            </c:numRef>
          </c:cat>
          <c:val>
            <c:numRef>
              <c:f>'WAGR Disposal Results'!$B$88:$C$88</c:f>
              <c:numCache>
                <c:formatCode>0.00E+00</c:formatCode>
                <c:ptCount val="2"/>
                <c:pt idx="0">
                  <c:v>2280</c:v>
                </c:pt>
                <c:pt idx="1">
                  <c:v>4560</c:v>
                </c:pt>
              </c:numCache>
            </c:numRef>
          </c:val>
        </c:ser>
        <c:ser>
          <c:idx val="11"/>
          <c:order val="11"/>
          <c:tx>
            <c:strRef>
              <c:f>'WAGR Disposal Results'!$A$89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numRef>
              <c:f>'WAGR Disposal Results'!$B$77:$C$77</c:f>
              <c:numCache>
                <c:formatCode>0%</c:formatCode>
                <c:ptCount val="2"/>
                <c:pt idx="0">
                  <c:v>0.1</c:v>
                </c:pt>
                <c:pt idx="1">
                  <c:v>0.2</c:v>
                </c:pt>
              </c:numCache>
            </c:numRef>
          </c:cat>
          <c:val>
            <c:numRef>
              <c:f>'WAGR Disposal Results'!$B$89:$C$89</c:f>
              <c:numCache>
                <c:formatCode>0.00E+00</c:formatCode>
                <c:ptCount val="2"/>
                <c:pt idx="0">
                  <c:v>8270</c:v>
                </c:pt>
                <c:pt idx="1">
                  <c:v>8270</c:v>
                </c:pt>
              </c:numCache>
            </c:numRef>
          </c:val>
        </c:ser>
        <c:overlap val="100"/>
        <c:axId val="61510784"/>
        <c:axId val="61512704"/>
      </c:barChart>
      <c:catAx>
        <c:axId val="615107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Boiler Internal Volume Grouting</a:t>
                </a:r>
              </a:p>
            </c:rich>
          </c:tx>
          <c:layout>
            <c:manualLayout>
              <c:xMode val="edge"/>
              <c:yMode val="edge"/>
              <c:x val="0.42944776551760461"/>
              <c:y val="0.89453151267483966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512704"/>
        <c:crosses val="autoZero"/>
        <c:auto val="1"/>
        <c:lblAlgn val="ctr"/>
        <c:lblOffset val="100"/>
        <c:tickLblSkip val="1"/>
        <c:tickMarkSkip val="1"/>
      </c:catAx>
      <c:valAx>
        <c:axId val="615127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Eco-Indictaor 99 Score (Pt)</a:t>
                </a:r>
              </a:p>
            </c:rich>
          </c:tx>
          <c:layout>
            <c:manualLayout>
              <c:xMode val="edge"/>
              <c:yMode val="edge"/>
              <c:x val="2.6584854150756239E-2"/>
              <c:y val="0.30859364098475034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51078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1111122815333702"/>
          <c:y val="2.3529286687265356E-2"/>
          <c:w val="0.81034524530587526"/>
          <c:h val="0.1999997342104388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172744721689102"/>
          <c:y val="0.19704469044296005"/>
          <c:w val="0.87332053742802318"/>
          <c:h val="0.28571480114229209"/>
        </c:manualLayout>
      </c:layout>
      <c:barChart>
        <c:barDir val="col"/>
        <c:grouping val="clustered"/>
        <c:ser>
          <c:idx val="0"/>
          <c:order val="0"/>
          <c:tx>
            <c:strRef>
              <c:f>'WAGR Disposal Results'!$B$93</c:f>
              <c:strCache>
                <c:ptCount val="1"/>
                <c:pt idx="0">
                  <c:v>10% Internal Grouting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Results'!$A$94:$A$104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Results'!$B$94:$B$104</c:f>
              <c:numCache>
                <c:formatCode>General</c:formatCode>
                <c:ptCount val="11"/>
                <c:pt idx="0">
                  <c:v>20.6</c:v>
                </c:pt>
                <c:pt idx="1">
                  <c:v>0.115</c:v>
                </c:pt>
                <c:pt idx="2">
                  <c:v>112</c:v>
                </c:pt>
                <c:pt idx="3">
                  <c:v>33</c:v>
                </c:pt>
                <c:pt idx="4">
                  <c:v>0.63100000000000001</c:v>
                </c:pt>
                <c:pt idx="5">
                  <c:v>1.2999999999999999E-2</c:v>
                </c:pt>
                <c:pt idx="6">
                  <c:v>13.1</c:v>
                </c:pt>
                <c:pt idx="7">
                  <c:v>3.98</c:v>
                </c:pt>
                <c:pt idx="8">
                  <c:v>6.2</c:v>
                </c:pt>
                <c:pt idx="9">
                  <c:v>40.5</c:v>
                </c:pt>
                <c:pt idx="10">
                  <c:v>138</c:v>
                </c:pt>
              </c:numCache>
            </c:numRef>
          </c:val>
        </c:ser>
        <c:ser>
          <c:idx val="1"/>
          <c:order val="1"/>
          <c:tx>
            <c:strRef>
              <c:f>'WAGR Disposal Results'!$C$93</c:f>
              <c:strCache>
                <c:ptCount val="1"/>
                <c:pt idx="0">
                  <c:v>20% Internal Grouting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Results'!$A$94:$A$104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Results'!$C$94:$C$104</c:f>
              <c:numCache>
                <c:formatCode>General</c:formatCode>
                <c:ptCount val="11"/>
                <c:pt idx="0">
                  <c:v>20.7</c:v>
                </c:pt>
                <c:pt idx="1">
                  <c:v>0.11799999999999999</c:v>
                </c:pt>
                <c:pt idx="2">
                  <c:v>114</c:v>
                </c:pt>
                <c:pt idx="3">
                  <c:v>34.799999999999997</c:v>
                </c:pt>
                <c:pt idx="4">
                  <c:v>0.63600000000000001</c:v>
                </c:pt>
                <c:pt idx="5">
                  <c:v>1.32E-2</c:v>
                </c:pt>
                <c:pt idx="6">
                  <c:v>13.1</c:v>
                </c:pt>
                <c:pt idx="7">
                  <c:v>4.0999999999999996</c:v>
                </c:pt>
                <c:pt idx="8">
                  <c:v>6.23</c:v>
                </c:pt>
                <c:pt idx="9">
                  <c:v>40.6</c:v>
                </c:pt>
                <c:pt idx="10">
                  <c:v>141</c:v>
                </c:pt>
              </c:numCache>
            </c:numRef>
          </c:val>
        </c:ser>
        <c:axId val="61537664"/>
        <c:axId val="61556224"/>
      </c:barChart>
      <c:catAx>
        <c:axId val="615376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7131123684916265"/>
              <c:y val="0.871922836270853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556224"/>
        <c:crosses val="autoZero"/>
        <c:auto val="1"/>
        <c:lblAlgn val="ctr"/>
        <c:lblOffset val="100"/>
        <c:tickLblSkip val="1"/>
        <c:tickMarkSkip val="1"/>
      </c:catAx>
      <c:valAx>
        <c:axId val="615562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6639408767371416E-2"/>
              <c:y val="0.2068969552180590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53766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328308207705192"/>
          <c:y val="4.3343653250773995E-2"/>
          <c:w val="0.29480737018425462"/>
          <c:h val="8.668730650154798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4367822811818498"/>
          <c:y val="0.17012430898649303"/>
          <c:w val="0.83141801337722898"/>
          <c:h val="0.29045613729401309"/>
        </c:manualLayout>
      </c:layout>
      <c:barChart>
        <c:barDir val="col"/>
        <c:grouping val="clustered"/>
        <c:ser>
          <c:idx val="0"/>
          <c:order val="0"/>
          <c:tx>
            <c:strRef>
              <c:f>'WAGR Disposal Results'!$B$106</c:f>
              <c:strCache>
                <c:ptCount val="1"/>
                <c:pt idx="0">
                  <c:v>10% Internal Grouting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Results'!$A$107:$A$117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Results'!$B$107:$B$117</c:f>
              <c:numCache>
                <c:formatCode>General</c:formatCode>
                <c:ptCount val="11"/>
                <c:pt idx="0" formatCode="0.00E+00">
                  <c:v>8250</c:v>
                </c:pt>
                <c:pt idx="1">
                  <c:v>46.2</c:v>
                </c:pt>
                <c:pt idx="2" formatCode="0.00E+00">
                  <c:v>44800</c:v>
                </c:pt>
                <c:pt idx="3" formatCode="0.00E+00">
                  <c:v>13200</c:v>
                </c:pt>
                <c:pt idx="4">
                  <c:v>252</c:v>
                </c:pt>
                <c:pt idx="5">
                  <c:v>5.18</c:v>
                </c:pt>
                <c:pt idx="6" formatCode="0.00E+00">
                  <c:v>5220</c:v>
                </c:pt>
                <c:pt idx="7" formatCode="0.00E+00">
                  <c:v>1590</c:v>
                </c:pt>
                <c:pt idx="8" formatCode="0.00E+00">
                  <c:v>2480</c:v>
                </c:pt>
                <c:pt idx="9" formatCode="0.00E+00">
                  <c:v>8110</c:v>
                </c:pt>
                <c:pt idx="10" formatCode="0.00E+00">
                  <c:v>27700</c:v>
                </c:pt>
              </c:numCache>
            </c:numRef>
          </c:val>
        </c:ser>
        <c:ser>
          <c:idx val="1"/>
          <c:order val="1"/>
          <c:tx>
            <c:strRef>
              <c:f>'WAGR Disposal Results'!$C$106</c:f>
              <c:strCache>
                <c:ptCount val="1"/>
                <c:pt idx="0">
                  <c:v>20% Internal Grouting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Results'!$A$107:$A$117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Results'!$C$107:$C$117</c:f>
              <c:numCache>
                <c:formatCode>General</c:formatCode>
                <c:ptCount val="11"/>
                <c:pt idx="0" formatCode="0.00E+00">
                  <c:v>8270</c:v>
                </c:pt>
                <c:pt idx="1">
                  <c:v>47.1</c:v>
                </c:pt>
                <c:pt idx="2" formatCode="0.00E+00">
                  <c:v>45600</c:v>
                </c:pt>
                <c:pt idx="3" formatCode="0.00E+00">
                  <c:v>13900</c:v>
                </c:pt>
                <c:pt idx="4" formatCode="0.00E+00">
                  <c:v>254</c:v>
                </c:pt>
                <c:pt idx="5">
                  <c:v>5.28</c:v>
                </c:pt>
                <c:pt idx="6" formatCode="0.00E+00">
                  <c:v>5240</c:v>
                </c:pt>
                <c:pt idx="7" formatCode="0.00E+00">
                  <c:v>1640</c:v>
                </c:pt>
                <c:pt idx="8" formatCode="0.00E+00">
                  <c:v>2490</c:v>
                </c:pt>
                <c:pt idx="9" formatCode="0.00E+00">
                  <c:v>8120</c:v>
                </c:pt>
                <c:pt idx="10" formatCode="0.00E+00">
                  <c:v>28300</c:v>
                </c:pt>
              </c:numCache>
            </c:numRef>
          </c:val>
        </c:ser>
        <c:axId val="61601664"/>
        <c:axId val="61612032"/>
      </c:barChart>
      <c:catAx>
        <c:axId val="616016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28422826745319"/>
              <c:y val="0.892115369235355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612032"/>
        <c:crosses val="autoZero"/>
        <c:auto val="1"/>
        <c:lblAlgn val="ctr"/>
        <c:lblOffset val="100"/>
        <c:tickLblSkip val="1"/>
        <c:tickMarkSkip val="1"/>
      </c:catAx>
      <c:valAx>
        <c:axId val="616120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Score (Pt)</a:t>
                </a:r>
              </a:p>
            </c:rich>
          </c:tx>
          <c:layout>
            <c:manualLayout>
              <c:xMode val="edge"/>
              <c:yMode val="edge"/>
              <c:x val="2.6584854150756239E-2"/>
              <c:y val="0.11618237471008644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60166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934891485809684"/>
          <c:y val="4.7091476437354514E-2"/>
          <c:w val="0.29382303839732887"/>
          <c:h val="6.648208438214754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3549608851116507"/>
          <c:y val="0.24999949137473307"/>
          <c:w val="0.83969406964665605"/>
          <c:h val="0.52499893188693891"/>
        </c:manualLayout>
      </c:layout>
      <c:barChart>
        <c:barDir val="col"/>
        <c:grouping val="stacked"/>
        <c:ser>
          <c:idx val="0"/>
          <c:order val="0"/>
          <c:tx>
            <c:strRef>
              <c:f>'WAGR Disposal Results'!$A$122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Results'!$B$121:$C$121</c:f>
              <c:strCache>
                <c:ptCount val="2"/>
                <c:pt idx="0">
                  <c:v>Standard</c:v>
                </c:pt>
                <c:pt idx="1">
                  <c:v>Double</c:v>
                </c:pt>
              </c:strCache>
            </c:strRef>
          </c:cat>
          <c:val>
            <c:numRef>
              <c:f>'WAGR Disposal Results'!$B$122:$C$122</c:f>
              <c:numCache>
                <c:formatCode>0.00E+00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Disposal Results'!$A$123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Results'!$B$121:$C$121</c:f>
              <c:strCache>
                <c:ptCount val="2"/>
                <c:pt idx="0">
                  <c:v>Standard</c:v>
                </c:pt>
                <c:pt idx="1">
                  <c:v>Double</c:v>
                </c:pt>
              </c:strCache>
            </c:strRef>
          </c:cat>
          <c:val>
            <c:numRef>
              <c:f>'WAGR Disposal Results'!$B$123:$C$123</c:f>
              <c:numCache>
                <c:formatCode>0.00E+00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'WAGR Disposal Results'!$A$124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Results'!$B$121:$C$121</c:f>
              <c:strCache>
                <c:ptCount val="2"/>
                <c:pt idx="0">
                  <c:v>Standard</c:v>
                </c:pt>
                <c:pt idx="1">
                  <c:v>Double</c:v>
                </c:pt>
              </c:strCache>
            </c:strRef>
          </c:cat>
          <c:val>
            <c:numRef>
              <c:f>'WAGR Disposal Results'!$B$124:$C$124</c:f>
              <c:numCache>
                <c:formatCode>0.00E+00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'WAGR Disposal Results'!$A$125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Results'!$B$121:$C$121</c:f>
              <c:strCache>
                <c:ptCount val="2"/>
                <c:pt idx="0">
                  <c:v>Standard</c:v>
                </c:pt>
                <c:pt idx="1">
                  <c:v>Double</c:v>
                </c:pt>
              </c:strCache>
            </c:strRef>
          </c:cat>
          <c:val>
            <c:numRef>
              <c:f>'WAGR Disposal Results'!$B$125:$C$125</c:f>
              <c:numCache>
                <c:formatCode>General</c:formatCode>
                <c:ptCount val="2"/>
                <c:pt idx="0">
                  <c:v>440</c:v>
                </c:pt>
                <c:pt idx="1">
                  <c:v>440</c:v>
                </c:pt>
              </c:numCache>
            </c:numRef>
          </c:val>
        </c:ser>
        <c:ser>
          <c:idx val="4"/>
          <c:order val="4"/>
          <c:tx>
            <c:strRef>
              <c:f>'WAGR Disposal Results'!$A$126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Results'!$B$121:$C$121</c:f>
              <c:strCache>
                <c:ptCount val="2"/>
                <c:pt idx="0">
                  <c:v>Standard</c:v>
                </c:pt>
                <c:pt idx="1">
                  <c:v>Double</c:v>
                </c:pt>
              </c:strCache>
            </c:strRef>
          </c:cat>
          <c:val>
            <c:numRef>
              <c:f>'WAGR Disposal Results'!$B$126:$C$126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5"/>
          <c:order val="5"/>
          <c:tx>
            <c:strRef>
              <c:f>'WAGR Disposal Results'!$A$127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Results'!$B$121:$C$121</c:f>
              <c:strCache>
                <c:ptCount val="2"/>
                <c:pt idx="0">
                  <c:v>Standard</c:v>
                </c:pt>
                <c:pt idx="1">
                  <c:v>Double</c:v>
                </c:pt>
              </c:strCache>
            </c:strRef>
          </c:cat>
          <c:val>
            <c:numRef>
              <c:f>'WAGR Disposal Results'!$B$127:$C$127</c:f>
              <c:numCache>
                <c:formatCode>0.00E+00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6"/>
          <c:order val="6"/>
          <c:tx>
            <c:strRef>
              <c:f>'WAGR Disposal Results'!$A$128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Results'!$B$121:$C$121</c:f>
              <c:strCache>
                <c:ptCount val="2"/>
                <c:pt idx="0">
                  <c:v>Standard</c:v>
                </c:pt>
                <c:pt idx="1">
                  <c:v>Double</c:v>
                </c:pt>
              </c:strCache>
            </c:strRef>
          </c:cat>
          <c:val>
            <c:numRef>
              <c:f>'WAGR Disposal Results'!$B$128:$C$128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7"/>
          <c:order val="7"/>
          <c:tx>
            <c:strRef>
              <c:f>'WAGR Disposal Results'!$A$129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Results'!$B$121:$C$121</c:f>
              <c:strCache>
                <c:ptCount val="2"/>
                <c:pt idx="0">
                  <c:v>Standard</c:v>
                </c:pt>
                <c:pt idx="1">
                  <c:v>Double</c:v>
                </c:pt>
              </c:strCache>
            </c:strRef>
          </c:cat>
          <c:val>
            <c:numRef>
              <c:f>'WAGR Disposal Results'!$B$129:$C$129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8"/>
          <c:order val="8"/>
          <c:tx>
            <c:strRef>
              <c:f>'WAGR Disposal Results'!$A$130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Results'!$B$121:$C$121</c:f>
              <c:strCache>
                <c:ptCount val="2"/>
                <c:pt idx="0">
                  <c:v>Standard</c:v>
                </c:pt>
                <c:pt idx="1">
                  <c:v>Double</c:v>
                </c:pt>
              </c:strCache>
            </c:strRef>
          </c:cat>
          <c:val>
            <c:numRef>
              <c:f>'WAGR Disposal Results'!$B$130:$C$130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9"/>
          <c:order val="9"/>
          <c:tx>
            <c:strRef>
              <c:f>'WAGR Disposal Results'!$A$131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'WAGR Disposal Results'!$B$121:$C$121</c:f>
              <c:strCache>
                <c:ptCount val="2"/>
                <c:pt idx="0">
                  <c:v>Standard</c:v>
                </c:pt>
                <c:pt idx="1">
                  <c:v>Double</c:v>
                </c:pt>
              </c:strCache>
            </c:strRef>
          </c:cat>
          <c:val>
            <c:numRef>
              <c:f>'WAGR Disposal Results'!$B$131:$C$131</c:f>
              <c:numCache>
                <c:formatCode>0.00E+00</c:formatCode>
                <c:ptCount val="2"/>
                <c:pt idx="0">
                  <c:v>101000</c:v>
                </c:pt>
                <c:pt idx="1">
                  <c:v>101000</c:v>
                </c:pt>
              </c:numCache>
            </c:numRef>
          </c:val>
        </c:ser>
        <c:ser>
          <c:idx val="10"/>
          <c:order val="10"/>
          <c:tx>
            <c:strRef>
              <c:f>'WAGR Disposal Results'!$A$132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Results'!$B$121:$C$121</c:f>
              <c:strCache>
                <c:ptCount val="2"/>
                <c:pt idx="0">
                  <c:v>Standard</c:v>
                </c:pt>
                <c:pt idx="1">
                  <c:v>Double</c:v>
                </c:pt>
              </c:strCache>
            </c:strRef>
          </c:cat>
          <c:val>
            <c:numRef>
              <c:f>'WAGR Disposal Results'!$B$132:$C$132</c:f>
              <c:numCache>
                <c:formatCode>0.00E+00</c:formatCode>
                <c:ptCount val="2"/>
                <c:pt idx="0">
                  <c:v>2280</c:v>
                </c:pt>
                <c:pt idx="1">
                  <c:v>2280</c:v>
                </c:pt>
              </c:numCache>
            </c:numRef>
          </c:val>
        </c:ser>
        <c:ser>
          <c:idx val="11"/>
          <c:order val="11"/>
          <c:tx>
            <c:strRef>
              <c:f>'WAGR Disposal Results'!$A$133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delete val="1"/>
          </c:dLbls>
          <c:cat>
            <c:strRef>
              <c:f>'WAGR Disposal Results'!$B$121:$C$121</c:f>
              <c:strCache>
                <c:ptCount val="2"/>
                <c:pt idx="0">
                  <c:v>Standard</c:v>
                </c:pt>
                <c:pt idx="1">
                  <c:v>Double</c:v>
                </c:pt>
              </c:strCache>
            </c:strRef>
          </c:cat>
          <c:val>
            <c:numRef>
              <c:f>'WAGR Disposal Results'!$B$133:$C$133</c:f>
              <c:numCache>
                <c:formatCode>0.00E+00</c:formatCode>
                <c:ptCount val="2"/>
                <c:pt idx="0">
                  <c:v>8270</c:v>
                </c:pt>
                <c:pt idx="1">
                  <c:v>18400</c:v>
                </c:pt>
              </c:numCache>
            </c:numRef>
          </c:val>
        </c:ser>
        <c:overlap val="100"/>
        <c:axId val="61695872"/>
        <c:axId val="61710336"/>
      </c:barChart>
      <c:catAx>
        <c:axId val="616958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Backfill Volume</a:t>
                </a:r>
              </a:p>
            </c:rich>
          </c:tx>
          <c:layout>
            <c:manualLayout>
              <c:xMode val="edge"/>
              <c:yMode val="edge"/>
              <c:x val="0.49588498609054898"/>
              <c:y val="0.8916646530294825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710336"/>
        <c:crosses val="autoZero"/>
        <c:auto val="1"/>
        <c:lblAlgn val="ctr"/>
        <c:lblOffset val="100"/>
        <c:tickLblSkip val="1"/>
        <c:tickMarkSkip val="1"/>
      </c:catAx>
      <c:valAx>
        <c:axId val="617103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Score (Pt)</a:t>
                </a:r>
              </a:p>
            </c:rich>
          </c:tx>
          <c:layout>
            <c:manualLayout>
              <c:xMode val="edge"/>
              <c:yMode val="edge"/>
              <c:x val="2.6748944235547925E-2"/>
              <c:y val="0.30833256953991861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69587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5457998698581979"/>
          <c:y val="4.1666458359371751E-2"/>
          <c:w val="0.79198413842196513"/>
          <c:h val="0.1666661111805468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0188989678256"/>
          <c:y val="0.19230814375221503"/>
          <c:w val="0.87334553266706216"/>
          <c:h val="0.30288532640973903"/>
        </c:manualLayout>
      </c:layout>
      <c:barChart>
        <c:barDir val="col"/>
        <c:grouping val="clustered"/>
        <c:ser>
          <c:idx val="0"/>
          <c:order val="0"/>
          <c:tx>
            <c:strRef>
              <c:f>'WAGR Disposal Results'!$B$137</c:f>
              <c:strCache>
                <c:ptCount val="1"/>
                <c:pt idx="0">
                  <c:v>Standard Backfill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Results'!$A$138:$A$148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Results'!$B$138:$B$148</c:f>
              <c:numCache>
                <c:formatCode>General</c:formatCode>
                <c:ptCount val="11"/>
                <c:pt idx="0">
                  <c:v>20.6</c:v>
                </c:pt>
                <c:pt idx="1">
                  <c:v>0.115</c:v>
                </c:pt>
                <c:pt idx="2">
                  <c:v>112</c:v>
                </c:pt>
                <c:pt idx="3">
                  <c:v>33</c:v>
                </c:pt>
                <c:pt idx="4">
                  <c:v>0.63100000000000001</c:v>
                </c:pt>
                <c:pt idx="5">
                  <c:v>1.2999999999999999E-2</c:v>
                </c:pt>
                <c:pt idx="6">
                  <c:v>13.1</c:v>
                </c:pt>
                <c:pt idx="7">
                  <c:v>3.98</c:v>
                </c:pt>
                <c:pt idx="8">
                  <c:v>6.2</c:v>
                </c:pt>
                <c:pt idx="9">
                  <c:v>40.5</c:v>
                </c:pt>
                <c:pt idx="10">
                  <c:v>138</c:v>
                </c:pt>
              </c:numCache>
            </c:numRef>
          </c:val>
        </c:ser>
        <c:ser>
          <c:idx val="1"/>
          <c:order val="1"/>
          <c:tx>
            <c:strRef>
              <c:f>'WAGR Disposal Results'!$C$137</c:f>
              <c:strCache>
                <c:ptCount val="1"/>
                <c:pt idx="0">
                  <c:v>Double Backfill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Results'!$A$138:$A$148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Results'!$C$138:$C$148</c:f>
              <c:numCache>
                <c:formatCode>General</c:formatCode>
                <c:ptCount val="11"/>
                <c:pt idx="0">
                  <c:v>21.3</c:v>
                </c:pt>
                <c:pt idx="1">
                  <c:v>0.126</c:v>
                </c:pt>
                <c:pt idx="2">
                  <c:v>121</c:v>
                </c:pt>
                <c:pt idx="3">
                  <c:v>35.1</c:v>
                </c:pt>
                <c:pt idx="4">
                  <c:v>0.65200000000000002</c:v>
                </c:pt>
                <c:pt idx="5">
                  <c:v>1.84E-2</c:v>
                </c:pt>
                <c:pt idx="6">
                  <c:v>13.5</c:v>
                </c:pt>
                <c:pt idx="7">
                  <c:v>4.33</c:v>
                </c:pt>
                <c:pt idx="8">
                  <c:v>5.82</c:v>
                </c:pt>
                <c:pt idx="9">
                  <c:v>41.2</c:v>
                </c:pt>
                <c:pt idx="10">
                  <c:v>163</c:v>
                </c:pt>
              </c:numCache>
            </c:numRef>
          </c:val>
        </c:ser>
        <c:axId val="61735296"/>
        <c:axId val="61737216"/>
      </c:barChart>
      <c:catAx>
        <c:axId val="61735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7131112722751761"/>
              <c:y val="0.869348748324888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737216"/>
        <c:crosses val="autoZero"/>
        <c:auto val="1"/>
        <c:lblAlgn val="ctr"/>
        <c:lblOffset val="100"/>
        <c:tickLblSkip val="1"/>
        <c:tickMarkSkip val="1"/>
      </c:catAx>
      <c:valAx>
        <c:axId val="617372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6639383892802872E-2"/>
              <c:y val="0.2010054634409369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73529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86842105263158"/>
          <c:y val="5.1359516616314202E-2"/>
          <c:w val="0.20394736842105263"/>
          <c:h val="8.459214501510574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34579469959174"/>
          <c:y val="0.16525398085671503"/>
          <c:w val="0.83925252793984695"/>
          <c:h val="0.29237242766957311"/>
        </c:manualLayout>
      </c:layout>
      <c:barChart>
        <c:barDir val="col"/>
        <c:grouping val="clustered"/>
        <c:ser>
          <c:idx val="0"/>
          <c:order val="0"/>
          <c:tx>
            <c:strRef>
              <c:f>'WAGR Disposal Results'!$B$150</c:f>
              <c:strCache>
                <c:ptCount val="1"/>
                <c:pt idx="0">
                  <c:v>Standard Backfill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Results'!$A$151:$A$161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Results'!$B$151:$B$161</c:f>
              <c:numCache>
                <c:formatCode>General</c:formatCode>
                <c:ptCount val="11"/>
                <c:pt idx="0" formatCode="0.00E+00">
                  <c:v>8250</c:v>
                </c:pt>
                <c:pt idx="1">
                  <c:v>46.2</c:v>
                </c:pt>
                <c:pt idx="2" formatCode="0.00E+00">
                  <c:v>44800</c:v>
                </c:pt>
                <c:pt idx="3" formatCode="0.00E+00">
                  <c:v>13200</c:v>
                </c:pt>
                <c:pt idx="4">
                  <c:v>252</c:v>
                </c:pt>
                <c:pt idx="5">
                  <c:v>5.18</c:v>
                </c:pt>
                <c:pt idx="6" formatCode="0.00E+00">
                  <c:v>5220</c:v>
                </c:pt>
                <c:pt idx="7" formatCode="0.00E+00">
                  <c:v>1590</c:v>
                </c:pt>
                <c:pt idx="8" formatCode="0.00E+00">
                  <c:v>2480</c:v>
                </c:pt>
                <c:pt idx="9" formatCode="0.00E+00">
                  <c:v>8110</c:v>
                </c:pt>
                <c:pt idx="10" formatCode="0.00E+00">
                  <c:v>27700</c:v>
                </c:pt>
              </c:numCache>
            </c:numRef>
          </c:val>
        </c:ser>
        <c:ser>
          <c:idx val="1"/>
          <c:order val="1"/>
          <c:tx>
            <c:strRef>
              <c:f>'WAGR Disposal Results'!$C$150</c:f>
              <c:strCache>
                <c:ptCount val="1"/>
                <c:pt idx="0">
                  <c:v>Double Backfill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Results'!$A$151:$A$161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Results'!$C$151:$C$161</c:f>
              <c:numCache>
                <c:formatCode>General</c:formatCode>
                <c:ptCount val="11"/>
                <c:pt idx="0" formatCode="0.00E+00">
                  <c:v>8510</c:v>
                </c:pt>
                <c:pt idx="1">
                  <c:v>50.2</c:v>
                </c:pt>
                <c:pt idx="2" formatCode="0.00E+00">
                  <c:v>48600</c:v>
                </c:pt>
                <c:pt idx="3" formatCode="0.00E+00">
                  <c:v>14100</c:v>
                </c:pt>
                <c:pt idx="4" formatCode="0.00E+00">
                  <c:v>261</c:v>
                </c:pt>
                <c:pt idx="5">
                  <c:v>7.36</c:v>
                </c:pt>
                <c:pt idx="6" formatCode="0.00E+00">
                  <c:v>5380</c:v>
                </c:pt>
                <c:pt idx="7" formatCode="0.00E+00">
                  <c:v>1730</c:v>
                </c:pt>
                <c:pt idx="8" formatCode="0.00E+00">
                  <c:v>2330</c:v>
                </c:pt>
                <c:pt idx="9" formatCode="0.00E+00">
                  <c:v>8250</c:v>
                </c:pt>
                <c:pt idx="10" formatCode="0.00E+00">
                  <c:v>32600</c:v>
                </c:pt>
              </c:numCache>
            </c:numRef>
          </c:val>
        </c:ser>
        <c:axId val="61799040"/>
        <c:axId val="61813504"/>
      </c:barChart>
      <c:catAx>
        <c:axId val="617990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284242564142022"/>
              <c:y val="0.8898291487149011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813504"/>
        <c:crosses val="autoZero"/>
        <c:auto val="1"/>
        <c:lblAlgn val="ctr"/>
        <c:lblOffset val="100"/>
        <c:tickLblSkip val="1"/>
        <c:tickMarkSkip val="1"/>
      </c:catAx>
      <c:valAx>
        <c:axId val="618135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Score(Pt)</a:t>
                </a:r>
              </a:p>
            </c:rich>
          </c:tx>
          <c:layout>
            <c:manualLayout>
              <c:xMode val="edge"/>
              <c:yMode val="edge"/>
              <c:x val="2.6584763223815266E-2"/>
              <c:y val="0.11440626525457903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79904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227744264075626"/>
          <c:y val="5.3908355795148251E-2"/>
          <c:w val="0.21951254368734707"/>
          <c:h val="7.008086253369272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4203454894433801"/>
          <c:y val="0.24583283318515403"/>
          <c:w val="0.83301343570057607"/>
          <c:h val="0.51666561550778112"/>
        </c:manualLayout>
      </c:layout>
      <c:barChart>
        <c:barDir val="col"/>
        <c:grouping val="stacked"/>
        <c:ser>
          <c:idx val="0"/>
          <c:order val="0"/>
          <c:tx>
            <c:strRef>
              <c:f>'WAGR Disposal Results'!$A$166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Results'!$B$165:$C$165</c:f>
              <c:strCache>
                <c:ptCount val="2"/>
                <c:pt idx="0">
                  <c:v>LLW Disposal</c:v>
                </c:pt>
                <c:pt idx="1">
                  <c:v>Landfill Disposal</c:v>
                </c:pt>
              </c:strCache>
            </c:strRef>
          </c:cat>
          <c:val>
            <c:numRef>
              <c:f>'WAGR Disposal Results'!$B$166:$C$166</c:f>
              <c:numCache>
                <c:formatCode>0.00E+00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Disposal Results'!$A$167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Results'!$B$165:$C$165</c:f>
              <c:strCache>
                <c:ptCount val="2"/>
                <c:pt idx="0">
                  <c:v>LLW Disposal</c:v>
                </c:pt>
                <c:pt idx="1">
                  <c:v>Landfill Disposal</c:v>
                </c:pt>
              </c:strCache>
            </c:strRef>
          </c:cat>
          <c:val>
            <c:numRef>
              <c:f>'WAGR Disposal Results'!$B$167:$C$167</c:f>
              <c:numCache>
                <c:formatCode>0.00E+00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'WAGR Disposal Results'!$A$168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Results'!$B$165:$C$165</c:f>
              <c:strCache>
                <c:ptCount val="2"/>
                <c:pt idx="0">
                  <c:v>LLW Disposal</c:v>
                </c:pt>
                <c:pt idx="1">
                  <c:v>Landfill Disposal</c:v>
                </c:pt>
              </c:strCache>
            </c:strRef>
          </c:cat>
          <c:val>
            <c:numRef>
              <c:f>'WAGR Disposal Results'!$B$168:$C$168</c:f>
              <c:numCache>
                <c:formatCode>0.00E+00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'WAGR Disposal Results'!$A$169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Results'!$B$165:$C$165</c:f>
              <c:strCache>
                <c:ptCount val="2"/>
                <c:pt idx="0">
                  <c:v>LLW Disposal</c:v>
                </c:pt>
                <c:pt idx="1">
                  <c:v>Landfill Disposal</c:v>
                </c:pt>
              </c:strCache>
            </c:strRef>
          </c:cat>
          <c:val>
            <c:numRef>
              <c:f>'WAGR Disposal Results'!$B$169:$C$169</c:f>
              <c:numCache>
                <c:formatCode>General</c:formatCode>
                <c:ptCount val="2"/>
                <c:pt idx="0">
                  <c:v>440</c:v>
                </c:pt>
                <c:pt idx="1">
                  <c:v>440</c:v>
                </c:pt>
              </c:numCache>
            </c:numRef>
          </c:val>
        </c:ser>
        <c:ser>
          <c:idx val="4"/>
          <c:order val="4"/>
          <c:tx>
            <c:strRef>
              <c:f>'WAGR Disposal Results'!$A$170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Results'!$B$165:$C$165</c:f>
              <c:strCache>
                <c:ptCount val="2"/>
                <c:pt idx="0">
                  <c:v>LLW Disposal</c:v>
                </c:pt>
                <c:pt idx="1">
                  <c:v>Landfill Disposal</c:v>
                </c:pt>
              </c:strCache>
            </c:strRef>
          </c:cat>
          <c:val>
            <c:numRef>
              <c:f>'WAGR Disposal Results'!$B$170:$C$170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5"/>
          <c:order val="5"/>
          <c:tx>
            <c:strRef>
              <c:f>'WAGR Disposal Results'!$A$171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Results'!$B$165:$C$165</c:f>
              <c:strCache>
                <c:ptCount val="2"/>
                <c:pt idx="0">
                  <c:v>LLW Disposal</c:v>
                </c:pt>
                <c:pt idx="1">
                  <c:v>Landfill Disposal</c:v>
                </c:pt>
              </c:strCache>
            </c:strRef>
          </c:cat>
          <c:val>
            <c:numRef>
              <c:f>'WAGR Disposal Results'!$B$171:$C$171</c:f>
              <c:numCache>
                <c:formatCode>0.00E+00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6"/>
          <c:order val="6"/>
          <c:tx>
            <c:strRef>
              <c:f>'WAGR Disposal Results'!$A$172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Results'!$B$165:$C$165</c:f>
              <c:strCache>
                <c:ptCount val="2"/>
                <c:pt idx="0">
                  <c:v>LLW Disposal</c:v>
                </c:pt>
                <c:pt idx="1">
                  <c:v>Landfill Disposal</c:v>
                </c:pt>
              </c:strCache>
            </c:strRef>
          </c:cat>
          <c:val>
            <c:numRef>
              <c:f>'WAGR Disposal Results'!$B$172:$C$172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7"/>
          <c:order val="7"/>
          <c:tx>
            <c:strRef>
              <c:f>'WAGR Disposal Results'!$A$173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Results'!$B$165:$C$165</c:f>
              <c:strCache>
                <c:ptCount val="2"/>
                <c:pt idx="0">
                  <c:v>LLW Disposal</c:v>
                </c:pt>
                <c:pt idx="1">
                  <c:v>Landfill Disposal</c:v>
                </c:pt>
              </c:strCache>
            </c:strRef>
          </c:cat>
          <c:val>
            <c:numRef>
              <c:f>'WAGR Disposal Results'!$B$173:$C$173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8"/>
          <c:order val="8"/>
          <c:tx>
            <c:strRef>
              <c:f>'WAGR Disposal Results'!$A$174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Results'!$B$165:$C$165</c:f>
              <c:strCache>
                <c:ptCount val="2"/>
                <c:pt idx="0">
                  <c:v>LLW Disposal</c:v>
                </c:pt>
                <c:pt idx="1">
                  <c:v>Landfill Disposal</c:v>
                </c:pt>
              </c:strCache>
            </c:strRef>
          </c:cat>
          <c:val>
            <c:numRef>
              <c:f>'WAGR Disposal Results'!$B$174:$C$174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9"/>
          <c:order val="9"/>
          <c:tx>
            <c:strRef>
              <c:f>'WAGR Disposal Results'!$A$175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Results'!$B$165:$C$165</c:f>
              <c:strCache>
                <c:ptCount val="2"/>
                <c:pt idx="0">
                  <c:v>LLW Disposal</c:v>
                </c:pt>
                <c:pt idx="1">
                  <c:v>Landfill Disposal</c:v>
                </c:pt>
              </c:strCache>
            </c:strRef>
          </c:cat>
          <c:val>
            <c:numRef>
              <c:f>'WAGR Disposal Results'!$B$175:$C$175</c:f>
              <c:numCache>
                <c:formatCode>0.00E+00</c:formatCode>
                <c:ptCount val="2"/>
                <c:pt idx="0">
                  <c:v>101000</c:v>
                </c:pt>
                <c:pt idx="1">
                  <c:v>891</c:v>
                </c:pt>
              </c:numCache>
            </c:numRef>
          </c:val>
        </c:ser>
        <c:ser>
          <c:idx val="10"/>
          <c:order val="10"/>
          <c:tx>
            <c:strRef>
              <c:f>'WAGR Disposal Results'!$A$176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Results'!$B$165:$C$165</c:f>
              <c:strCache>
                <c:ptCount val="2"/>
                <c:pt idx="0">
                  <c:v>LLW Disposal</c:v>
                </c:pt>
                <c:pt idx="1">
                  <c:v>Landfill Disposal</c:v>
                </c:pt>
              </c:strCache>
            </c:strRef>
          </c:cat>
          <c:val>
            <c:numRef>
              <c:f>'WAGR Disposal Results'!$B$176:$C$176</c:f>
              <c:numCache>
                <c:formatCode>0.00E+00</c:formatCode>
                <c:ptCount val="2"/>
                <c:pt idx="0">
                  <c:v>2280</c:v>
                </c:pt>
                <c:pt idx="1">
                  <c:v>2280</c:v>
                </c:pt>
              </c:numCache>
            </c:numRef>
          </c:val>
        </c:ser>
        <c:ser>
          <c:idx val="11"/>
          <c:order val="11"/>
          <c:tx>
            <c:strRef>
              <c:f>'WAGR Disposal Results'!$A$177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Results'!$B$165:$C$165</c:f>
              <c:strCache>
                <c:ptCount val="2"/>
                <c:pt idx="0">
                  <c:v>LLW Disposal</c:v>
                </c:pt>
                <c:pt idx="1">
                  <c:v>Landfill Disposal</c:v>
                </c:pt>
              </c:strCache>
            </c:strRef>
          </c:cat>
          <c:val>
            <c:numRef>
              <c:f>'WAGR Disposal Results'!$B$177:$C$177</c:f>
              <c:numCache>
                <c:formatCode>0.00E+00</c:formatCode>
                <c:ptCount val="2"/>
                <c:pt idx="0">
                  <c:v>18400</c:v>
                </c:pt>
                <c:pt idx="1">
                  <c:v>18400</c:v>
                </c:pt>
              </c:numCache>
            </c:numRef>
          </c:val>
        </c:ser>
        <c:overlap val="100"/>
        <c:axId val="61891712"/>
        <c:axId val="61893632"/>
      </c:barChart>
      <c:catAx>
        <c:axId val="618917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Facility Type</a:t>
                </a:r>
              </a:p>
            </c:rich>
          </c:tx>
          <c:layout>
            <c:manualLayout>
              <c:xMode val="edge"/>
              <c:yMode val="edge"/>
              <c:x val="0.50819640057472015"/>
              <c:y val="0.89641428409235102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893632"/>
        <c:crosses val="autoZero"/>
        <c:auto val="1"/>
        <c:lblAlgn val="ctr"/>
        <c:lblOffset val="100"/>
        <c:tickLblSkip val="1"/>
        <c:tickMarkSkip val="1"/>
      </c:catAx>
      <c:valAx>
        <c:axId val="618936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Score (Pt)</a:t>
                </a:r>
              </a:p>
            </c:rich>
          </c:tx>
          <c:layout>
            <c:manualLayout>
              <c:xMode val="edge"/>
              <c:yMode val="edge"/>
              <c:x val="2.6639240810372913E-2"/>
              <c:y val="0.31075688058076711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89171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0556613867526127"/>
          <c:y val="2.4999966607227531E-2"/>
          <c:w val="0.7600766875854329"/>
          <c:h val="0.1583330327983811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377219121165103"/>
          <c:y val="7.8651541557778912E-2"/>
          <c:w val="0.68172937064194905"/>
          <c:h val="0.72659043153376712"/>
        </c:manualLayout>
      </c:layout>
      <c:barChart>
        <c:barDir val="col"/>
        <c:grouping val="clustered"/>
        <c:ser>
          <c:idx val="1"/>
          <c:order val="0"/>
          <c:tx>
            <c:strRef>
              <c:f>'General metal graphs'!$B$128</c:f>
              <c:strCache>
                <c:ptCount val="1"/>
                <c:pt idx="0">
                  <c:v>2007 UKRWI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graphs'!$A$129:$A$147</c:f>
              <c:numCache>
                <c:formatCode>General</c:formatCode>
                <c:ptCount val="19"/>
                <c:pt idx="0">
                  <c:v>97</c:v>
                </c:pt>
                <c:pt idx="1">
                  <c:v>98</c:v>
                </c:pt>
                <c:pt idx="2">
                  <c:v>99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</c:numCache>
            </c:numRef>
          </c:cat>
          <c:val>
            <c:numRef>
              <c:f>'General metal graphs'!$B$129:$B$147</c:f>
              <c:numCache>
                <c:formatCode>General</c:formatCode>
                <c:ptCount val="19"/>
                <c:pt idx="0">
                  <c:v>9200</c:v>
                </c:pt>
                <c:pt idx="1">
                  <c:v>12600</c:v>
                </c:pt>
                <c:pt idx="2">
                  <c:v>8000</c:v>
                </c:pt>
                <c:pt idx="3">
                  <c:v>8400</c:v>
                </c:pt>
                <c:pt idx="4">
                  <c:v>6100</c:v>
                </c:pt>
                <c:pt idx="5">
                  <c:v>10800</c:v>
                </c:pt>
                <c:pt idx="6">
                  <c:v>11400</c:v>
                </c:pt>
                <c:pt idx="7">
                  <c:v>12900</c:v>
                </c:pt>
                <c:pt idx="8">
                  <c:v>12800</c:v>
                </c:pt>
                <c:pt idx="9">
                  <c:v>12900</c:v>
                </c:pt>
                <c:pt idx="10">
                  <c:v>15400</c:v>
                </c:pt>
                <c:pt idx="11">
                  <c:v>14500</c:v>
                </c:pt>
                <c:pt idx="12">
                  <c:v>14600</c:v>
                </c:pt>
                <c:pt idx="13">
                  <c:v>14500</c:v>
                </c:pt>
                <c:pt idx="14">
                  <c:v>14900</c:v>
                </c:pt>
                <c:pt idx="15">
                  <c:v>13200</c:v>
                </c:pt>
              </c:numCache>
            </c:numRef>
          </c:val>
        </c:ser>
        <c:axId val="52706688"/>
        <c:axId val="52709248"/>
      </c:barChart>
      <c:lineChart>
        <c:grouping val="standard"/>
        <c:ser>
          <c:idx val="0"/>
          <c:order val="1"/>
          <c:tx>
            <c:strRef>
              <c:f>'General metal graphs'!$C$128</c:f>
              <c:strCache>
                <c:ptCount val="1"/>
                <c:pt idx="0">
                  <c:v>2010 UKRWI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'General metal graphs'!$A$129:$A$147</c:f>
              <c:numCache>
                <c:formatCode>General</c:formatCode>
                <c:ptCount val="19"/>
                <c:pt idx="0">
                  <c:v>97</c:v>
                </c:pt>
                <c:pt idx="1">
                  <c:v>98</c:v>
                </c:pt>
                <c:pt idx="2">
                  <c:v>99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</c:numCache>
            </c:numRef>
          </c:cat>
          <c:val>
            <c:numRef>
              <c:f>'General metal graphs'!$C$129:$C$147</c:f>
              <c:numCache>
                <c:formatCode>General</c:formatCode>
                <c:ptCount val="19"/>
                <c:pt idx="3">
                  <c:v>8400</c:v>
                </c:pt>
                <c:pt idx="4">
                  <c:v>6100</c:v>
                </c:pt>
                <c:pt idx="5">
                  <c:v>10800</c:v>
                </c:pt>
                <c:pt idx="6">
                  <c:v>11400</c:v>
                </c:pt>
                <c:pt idx="7">
                  <c:v>12900</c:v>
                </c:pt>
                <c:pt idx="8">
                  <c:v>12800</c:v>
                </c:pt>
                <c:pt idx="9">
                  <c:v>12900</c:v>
                </c:pt>
                <c:pt idx="10">
                  <c:v>9100</c:v>
                </c:pt>
                <c:pt idx="11">
                  <c:v>8600</c:v>
                </c:pt>
                <c:pt idx="12">
                  <c:v>7000</c:v>
                </c:pt>
                <c:pt idx="13">
                  <c:v>11200</c:v>
                </c:pt>
                <c:pt idx="14">
                  <c:v>10900</c:v>
                </c:pt>
                <c:pt idx="15">
                  <c:v>9170</c:v>
                </c:pt>
                <c:pt idx="16">
                  <c:v>8760</c:v>
                </c:pt>
                <c:pt idx="17">
                  <c:v>7740</c:v>
                </c:pt>
                <c:pt idx="18">
                  <c:v>8320</c:v>
                </c:pt>
              </c:numCache>
            </c:numRef>
          </c:val>
        </c:ser>
        <c:marker val="1"/>
        <c:axId val="52715520"/>
        <c:axId val="52717056"/>
      </c:lineChart>
      <c:catAx>
        <c:axId val="52706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3947807753539009"/>
              <c:y val="0.9027784898980650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709248"/>
        <c:crosses val="autoZero"/>
        <c:lblAlgn val="ctr"/>
        <c:lblOffset val="100"/>
        <c:tickLblSkip val="1"/>
        <c:tickMarkSkip val="1"/>
      </c:catAx>
      <c:valAx>
        <c:axId val="5270924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Disposal Volume (m3)</a:t>
                </a:r>
              </a:p>
            </c:rich>
          </c:tx>
          <c:layout>
            <c:manualLayout>
              <c:xMode val="edge"/>
              <c:yMode val="edge"/>
              <c:x val="2.4208725958435522E-2"/>
              <c:y val="0.2604168955624733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706688"/>
        <c:crosses val="autoZero"/>
        <c:crossBetween val="between"/>
      </c:valAx>
      <c:catAx>
        <c:axId val="52715520"/>
        <c:scaling>
          <c:orientation val="minMax"/>
        </c:scaling>
        <c:delete val="1"/>
        <c:axPos val="b"/>
        <c:numFmt formatCode="General" sourceLinked="1"/>
        <c:tickLblPos val="nextTo"/>
        <c:crossAx val="52717056"/>
        <c:crosses val="autoZero"/>
        <c:lblAlgn val="ctr"/>
        <c:lblOffset val="100"/>
      </c:catAx>
      <c:valAx>
        <c:axId val="52717056"/>
        <c:scaling>
          <c:orientation val="minMax"/>
        </c:scaling>
        <c:delete val="1"/>
        <c:axPos val="l"/>
        <c:numFmt formatCode="General" sourceLinked="1"/>
        <c:tickLblPos val="nextTo"/>
        <c:crossAx val="5271552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095723014256617"/>
          <c:y val="0.3247863247863248"/>
          <c:w val="0.1384928716904277"/>
          <c:h val="8.547008547008547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>
      <c:oddHeader>&amp;A</c:oddHeader>
      <c:oddFooter>Page &amp;P</c:oddFooter>
    </c:headerFooter>
    <c:pageMargins b="1" l="0.75000000000000011" r="0.75000000000000011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251453097481801"/>
          <c:y val="0.19598038036957302"/>
          <c:w val="0.87040639506920792"/>
          <c:h val="0.27135744974248605"/>
        </c:manualLayout>
      </c:layout>
      <c:barChart>
        <c:barDir val="col"/>
        <c:grouping val="clustered"/>
        <c:ser>
          <c:idx val="0"/>
          <c:order val="0"/>
          <c:tx>
            <c:strRef>
              <c:f>'WAGR Disposal Results'!$B$181</c:f>
              <c:strCache>
                <c:ptCount val="1"/>
                <c:pt idx="0">
                  <c:v>LLW Disposal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Results'!$A$182:$A$192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Results'!$B$182:$B$192</c:f>
              <c:numCache>
                <c:formatCode>General</c:formatCode>
                <c:ptCount val="11"/>
                <c:pt idx="0">
                  <c:v>21.6</c:v>
                </c:pt>
                <c:pt idx="1">
                  <c:v>0.126</c:v>
                </c:pt>
                <c:pt idx="2">
                  <c:v>121</c:v>
                </c:pt>
                <c:pt idx="3">
                  <c:v>35.1</c:v>
                </c:pt>
                <c:pt idx="4">
                  <c:v>0.65200000000000002</c:v>
                </c:pt>
                <c:pt idx="5">
                  <c:v>1.84E-2</c:v>
                </c:pt>
                <c:pt idx="6">
                  <c:v>13.5</c:v>
                </c:pt>
                <c:pt idx="7">
                  <c:v>4.33</c:v>
                </c:pt>
                <c:pt idx="8">
                  <c:v>5.82</c:v>
                </c:pt>
                <c:pt idx="9">
                  <c:v>41.2</c:v>
                </c:pt>
                <c:pt idx="10">
                  <c:v>163</c:v>
                </c:pt>
              </c:numCache>
            </c:numRef>
          </c:val>
        </c:ser>
        <c:ser>
          <c:idx val="1"/>
          <c:order val="1"/>
          <c:tx>
            <c:strRef>
              <c:f>'WAGR Disposal Results'!$C$181</c:f>
              <c:strCache>
                <c:ptCount val="1"/>
                <c:pt idx="0">
                  <c:v>Landfill Disposal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Results'!$A$182:$A$192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Results'!$C$182:$C$192</c:f>
              <c:numCache>
                <c:formatCode>General</c:formatCode>
                <c:ptCount val="11"/>
                <c:pt idx="0">
                  <c:v>1.26</c:v>
                </c:pt>
                <c:pt idx="1">
                  <c:v>2.3E-2</c:v>
                </c:pt>
                <c:pt idx="2">
                  <c:v>20.5</c:v>
                </c:pt>
                <c:pt idx="3">
                  <c:v>5.86</c:v>
                </c:pt>
                <c:pt idx="4">
                  <c:v>4.4400000000000002E-2</c:v>
                </c:pt>
                <c:pt idx="5">
                  <c:v>1.04E-2</c:v>
                </c:pt>
                <c:pt idx="6">
                  <c:v>0.78700000000000003</c:v>
                </c:pt>
                <c:pt idx="7">
                  <c:v>0.82699999999999996</c:v>
                </c:pt>
                <c:pt idx="8">
                  <c:v>0.01</c:v>
                </c:pt>
                <c:pt idx="9">
                  <c:v>1.36</c:v>
                </c:pt>
                <c:pt idx="10">
                  <c:v>51.6</c:v>
                </c:pt>
              </c:numCache>
            </c:numRef>
          </c:val>
        </c:ser>
        <c:axId val="61918592"/>
        <c:axId val="61933056"/>
      </c:barChart>
      <c:catAx>
        <c:axId val="61918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6997895851253885"/>
              <c:y val="0.869998651981191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933056"/>
        <c:crosses val="autoZero"/>
        <c:auto val="1"/>
        <c:lblAlgn val="ctr"/>
        <c:lblOffset val="100"/>
        <c:tickLblSkip val="1"/>
        <c:tickMarkSkip val="1"/>
      </c:catAx>
      <c:valAx>
        <c:axId val="619330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6914929751428129E-2"/>
              <c:y val="0.1999996828191038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91859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006711409395972"/>
          <c:y val="4.2168674698795178E-2"/>
          <c:w val="0.35570469798657717"/>
          <c:h val="8.734939759036144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3793109899345701"/>
          <c:y val="0.17333352141224101"/>
          <c:w val="0.83716514250195595"/>
          <c:h val="0.28000030381977409"/>
        </c:manualLayout>
      </c:layout>
      <c:barChart>
        <c:barDir val="col"/>
        <c:grouping val="clustered"/>
        <c:ser>
          <c:idx val="0"/>
          <c:order val="0"/>
          <c:tx>
            <c:strRef>
              <c:f>'WAGR Disposal Results'!$B$194</c:f>
              <c:strCache>
                <c:ptCount val="1"/>
                <c:pt idx="0">
                  <c:v>LLW Disposal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Results'!$A$195:$A$205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Results'!$B$195:$B$205</c:f>
              <c:numCache>
                <c:formatCode>General</c:formatCode>
                <c:ptCount val="11"/>
                <c:pt idx="0" formatCode="0.00E+00">
                  <c:v>8510</c:v>
                </c:pt>
                <c:pt idx="1">
                  <c:v>50.2</c:v>
                </c:pt>
                <c:pt idx="2" formatCode="0.00E+00">
                  <c:v>48600</c:v>
                </c:pt>
                <c:pt idx="3" formatCode="0.00E+00">
                  <c:v>14100</c:v>
                </c:pt>
                <c:pt idx="4" formatCode="0.00E+00">
                  <c:v>261</c:v>
                </c:pt>
                <c:pt idx="5">
                  <c:v>7.36</c:v>
                </c:pt>
                <c:pt idx="6" formatCode="0.00E+00">
                  <c:v>5380</c:v>
                </c:pt>
                <c:pt idx="7" formatCode="0.00E+00">
                  <c:v>1730</c:v>
                </c:pt>
                <c:pt idx="8" formatCode="0.00E+00">
                  <c:v>2330</c:v>
                </c:pt>
                <c:pt idx="9" formatCode="0.00E+00">
                  <c:v>8250</c:v>
                </c:pt>
                <c:pt idx="10" formatCode="0.00E+00">
                  <c:v>32600</c:v>
                </c:pt>
              </c:numCache>
            </c:numRef>
          </c:val>
        </c:ser>
        <c:ser>
          <c:idx val="1"/>
          <c:order val="1"/>
          <c:tx>
            <c:strRef>
              <c:f>'WAGR Disposal Results'!$C$194</c:f>
              <c:strCache>
                <c:ptCount val="1"/>
                <c:pt idx="0">
                  <c:v>Landfill Disposal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Results'!$A$195:$A$205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Results'!$C$195:$C$205</c:f>
              <c:numCache>
                <c:formatCode>General</c:formatCode>
                <c:ptCount val="11"/>
                <c:pt idx="0">
                  <c:v>503</c:v>
                </c:pt>
                <c:pt idx="1">
                  <c:v>9.19</c:v>
                </c:pt>
                <c:pt idx="2">
                  <c:v>8.2100000000000009</c:v>
                </c:pt>
                <c:pt idx="3">
                  <c:v>2.34</c:v>
                </c:pt>
                <c:pt idx="4">
                  <c:v>17.8</c:v>
                </c:pt>
                <c:pt idx="5">
                  <c:v>4.17</c:v>
                </c:pt>
                <c:pt idx="6">
                  <c:v>315</c:v>
                </c:pt>
                <c:pt idx="7">
                  <c:v>331</c:v>
                </c:pt>
                <c:pt idx="8">
                  <c:v>3.82</c:v>
                </c:pt>
                <c:pt idx="9">
                  <c:v>272</c:v>
                </c:pt>
                <c:pt idx="10">
                  <c:v>10300</c:v>
                </c:pt>
              </c:numCache>
            </c:numRef>
          </c:val>
        </c:ser>
        <c:axId val="61978496"/>
        <c:axId val="61997056"/>
      </c:barChart>
      <c:catAx>
        <c:axId val="619784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284240632711607"/>
              <c:y val="0.889363694403064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997056"/>
        <c:crosses val="autoZero"/>
        <c:auto val="1"/>
        <c:lblAlgn val="ctr"/>
        <c:lblOffset val="100"/>
        <c:tickLblSkip val="1"/>
        <c:tickMarkSkip val="1"/>
      </c:catAx>
      <c:valAx>
        <c:axId val="619970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Score (Pt)</a:t>
                </a:r>
              </a:p>
            </c:rich>
          </c:tx>
          <c:layout>
            <c:manualLayout>
              <c:xMode val="edge"/>
              <c:yMode val="edge"/>
              <c:x val="2.6584700168292917E-2"/>
              <c:y val="0.10638320209973753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97849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411960132890366"/>
          <c:y val="2.9729729729729731E-2"/>
          <c:w val="0.36046511627906974"/>
          <c:h val="0.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218571314225301"/>
          <c:y val="0.24380165289256203"/>
          <c:w val="0.86847215863572103"/>
          <c:h val="0.54545454545454497"/>
        </c:manualLayout>
      </c:layout>
      <c:barChart>
        <c:barDir val="col"/>
        <c:grouping val="stacked"/>
        <c:ser>
          <c:idx val="0"/>
          <c:order val="0"/>
          <c:tx>
            <c:strRef>
              <c:f>'WAGR Disposal Results'!$A$210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Results'!$B$209:$E$209</c:f>
              <c:strCache>
                <c:ptCount val="4"/>
                <c:pt idx="0">
                  <c:v>Bentonite</c:v>
                </c:pt>
                <c:pt idx="1">
                  <c:v>Sand</c:v>
                </c:pt>
                <c:pt idx="2">
                  <c:v>Gravel</c:v>
                </c:pt>
                <c:pt idx="3">
                  <c:v>Clay</c:v>
                </c:pt>
              </c:strCache>
            </c:strRef>
          </c:cat>
          <c:val>
            <c:numRef>
              <c:f>'WAGR Disposal Results'!$B$210:$E$210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Disposal Results'!$A$211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Results'!$B$209:$E$209</c:f>
              <c:strCache>
                <c:ptCount val="4"/>
                <c:pt idx="0">
                  <c:v>Bentonite</c:v>
                </c:pt>
                <c:pt idx="1">
                  <c:v>Sand</c:v>
                </c:pt>
                <c:pt idx="2">
                  <c:v>Gravel</c:v>
                </c:pt>
                <c:pt idx="3">
                  <c:v>Clay</c:v>
                </c:pt>
              </c:strCache>
            </c:strRef>
          </c:cat>
          <c:val>
            <c:numRef>
              <c:f>'WAGR Disposal Results'!$B$211:$E$211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'WAGR Disposal Results'!$A$212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Results'!$B$209:$E$209</c:f>
              <c:strCache>
                <c:ptCount val="4"/>
                <c:pt idx="0">
                  <c:v>Bentonite</c:v>
                </c:pt>
                <c:pt idx="1">
                  <c:v>Sand</c:v>
                </c:pt>
                <c:pt idx="2">
                  <c:v>Gravel</c:v>
                </c:pt>
                <c:pt idx="3">
                  <c:v>Clay</c:v>
                </c:pt>
              </c:strCache>
            </c:strRef>
          </c:cat>
          <c:val>
            <c:numRef>
              <c:f>'WAGR Disposal Results'!$B$212:$E$212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'WAGR Disposal Results'!$A$213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Results'!$B$209:$E$209</c:f>
              <c:strCache>
                <c:ptCount val="4"/>
                <c:pt idx="0">
                  <c:v>Bentonite</c:v>
                </c:pt>
                <c:pt idx="1">
                  <c:v>Sand</c:v>
                </c:pt>
                <c:pt idx="2">
                  <c:v>Gravel</c:v>
                </c:pt>
                <c:pt idx="3">
                  <c:v>Clay</c:v>
                </c:pt>
              </c:strCache>
            </c:strRef>
          </c:cat>
          <c:val>
            <c:numRef>
              <c:f>'WAGR Disposal Results'!$B$213:$E$213</c:f>
              <c:numCache>
                <c:formatCode>General</c:formatCode>
                <c:ptCount val="4"/>
                <c:pt idx="0">
                  <c:v>440</c:v>
                </c:pt>
                <c:pt idx="1">
                  <c:v>440</c:v>
                </c:pt>
                <c:pt idx="2">
                  <c:v>440</c:v>
                </c:pt>
                <c:pt idx="3">
                  <c:v>440</c:v>
                </c:pt>
              </c:numCache>
            </c:numRef>
          </c:val>
        </c:ser>
        <c:ser>
          <c:idx val="4"/>
          <c:order val="4"/>
          <c:tx>
            <c:strRef>
              <c:f>'WAGR Disposal Results'!$A$214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Results'!$B$209:$E$209</c:f>
              <c:strCache>
                <c:ptCount val="4"/>
                <c:pt idx="0">
                  <c:v>Bentonite</c:v>
                </c:pt>
                <c:pt idx="1">
                  <c:v>Sand</c:v>
                </c:pt>
                <c:pt idx="2">
                  <c:v>Gravel</c:v>
                </c:pt>
                <c:pt idx="3">
                  <c:v>Clay</c:v>
                </c:pt>
              </c:strCache>
            </c:strRef>
          </c:cat>
          <c:val>
            <c:numRef>
              <c:f>'WAGR Disposal Results'!$B$214:$E$214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'WAGR Disposal Results'!$A$215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Results'!$B$209:$E$209</c:f>
              <c:strCache>
                <c:ptCount val="4"/>
                <c:pt idx="0">
                  <c:v>Bentonite</c:v>
                </c:pt>
                <c:pt idx="1">
                  <c:v>Sand</c:v>
                </c:pt>
                <c:pt idx="2">
                  <c:v>Gravel</c:v>
                </c:pt>
                <c:pt idx="3">
                  <c:v>Clay</c:v>
                </c:pt>
              </c:strCache>
            </c:strRef>
          </c:cat>
          <c:val>
            <c:numRef>
              <c:f>'WAGR Disposal Results'!$B$215:$E$215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6"/>
          <c:order val="6"/>
          <c:tx>
            <c:strRef>
              <c:f>'WAGR Disposal Results'!$A$216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Results'!$B$209:$E$209</c:f>
              <c:strCache>
                <c:ptCount val="4"/>
                <c:pt idx="0">
                  <c:v>Bentonite</c:v>
                </c:pt>
                <c:pt idx="1">
                  <c:v>Sand</c:v>
                </c:pt>
                <c:pt idx="2">
                  <c:v>Gravel</c:v>
                </c:pt>
                <c:pt idx="3">
                  <c:v>Clay</c:v>
                </c:pt>
              </c:strCache>
            </c:strRef>
          </c:cat>
          <c:val>
            <c:numRef>
              <c:f>'WAGR Disposal Results'!$B$216:$E$216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7"/>
          <c:order val="7"/>
          <c:tx>
            <c:strRef>
              <c:f>'WAGR Disposal Results'!$A$217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Results'!$B$209:$E$209</c:f>
              <c:strCache>
                <c:ptCount val="4"/>
                <c:pt idx="0">
                  <c:v>Bentonite</c:v>
                </c:pt>
                <c:pt idx="1">
                  <c:v>Sand</c:v>
                </c:pt>
                <c:pt idx="2">
                  <c:v>Gravel</c:v>
                </c:pt>
                <c:pt idx="3">
                  <c:v>Clay</c:v>
                </c:pt>
              </c:strCache>
            </c:strRef>
          </c:cat>
          <c:val>
            <c:numRef>
              <c:f>'WAGR Disposal Results'!$B$217:$E$217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8"/>
          <c:order val="8"/>
          <c:tx>
            <c:strRef>
              <c:f>'WAGR Disposal Results'!$A$218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Results'!$B$209:$E$209</c:f>
              <c:strCache>
                <c:ptCount val="4"/>
                <c:pt idx="0">
                  <c:v>Bentonite</c:v>
                </c:pt>
                <c:pt idx="1">
                  <c:v>Sand</c:v>
                </c:pt>
                <c:pt idx="2">
                  <c:v>Gravel</c:v>
                </c:pt>
                <c:pt idx="3">
                  <c:v>Clay</c:v>
                </c:pt>
              </c:strCache>
            </c:strRef>
          </c:cat>
          <c:val>
            <c:numRef>
              <c:f>'WAGR Disposal Results'!$B$218:$E$218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9"/>
          <c:order val="9"/>
          <c:tx>
            <c:strRef>
              <c:f>'WAGR Disposal Results'!$A$219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Results'!$B$209:$E$209</c:f>
              <c:strCache>
                <c:ptCount val="4"/>
                <c:pt idx="0">
                  <c:v>Bentonite</c:v>
                </c:pt>
                <c:pt idx="1">
                  <c:v>Sand</c:v>
                </c:pt>
                <c:pt idx="2">
                  <c:v>Gravel</c:v>
                </c:pt>
                <c:pt idx="3">
                  <c:v>Clay</c:v>
                </c:pt>
              </c:strCache>
            </c:strRef>
          </c:cat>
          <c:val>
            <c:numRef>
              <c:f>'WAGR Disposal Results'!$B$219:$E$219</c:f>
              <c:numCache>
                <c:formatCode>0.00E+00</c:formatCode>
                <c:ptCount val="4"/>
                <c:pt idx="0">
                  <c:v>101000</c:v>
                </c:pt>
                <c:pt idx="1">
                  <c:v>101000</c:v>
                </c:pt>
                <c:pt idx="2">
                  <c:v>101000</c:v>
                </c:pt>
                <c:pt idx="3">
                  <c:v>101000</c:v>
                </c:pt>
              </c:numCache>
            </c:numRef>
          </c:val>
        </c:ser>
        <c:ser>
          <c:idx val="10"/>
          <c:order val="10"/>
          <c:tx>
            <c:strRef>
              <c:f>'WAGR Disposal Results'!$A$220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Results'!$B$209:$E$209</c:f>
              <c:strCache>
                <c:ptCount val="4"/>
                <c:pt idx="0">
                  <c:v>Bentonite</c:v>
                </c:pt>
                <c:pt idx="1">
                  <c:v>Sand</c:v>
                </c:pt>
                <c:pt idx="2">
                  <c:v>Gravel</c:v>
                </c:pt>
                <c:pt idx="3">
                  <c:v>Clay</c:v>
                </c:pt>
              </c:strCache>
            </c:strRef>
          </c:cat>
          <c:val>
            <c:numRef>
              <c:f>'WAGR Disposal Results'!$B$220:$E$220</c:f>
              <c:numCache>
                <c:formatCode>0.00E+00</c:formatCode>
                <c:ptCount val="4"/>
                <c:pt idx="0">
                  <c:v>2280</c:v>
                </c:pt>
                <c:pt idx="1">
                  <c:v>2280</c:v>
                </c:pt>
                <c:pt idx="2">
                  <c:v>2280</c:v>
                </c:pt>
                <c:pt idx="3">
                  <c:v>2280</c:v>
                </c:pt>
              </c:numCache>
            </c:numRef>
          </c:val>
        </c:ser>
        <c:ser>
          <c:idx val="11"/>
          <c:order val="11"/>
          <c:tx>
            <c:strRef>
              <c:f>'WAGR Disposal Results'!$A$221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Results'!$B$209:$E$209</c:f>
              <c:strCache>
                <c:ptCount val="4"/>
                <c:pt idx="0">
                  <c:v>Bentonite</c:v>
                </c:pt>
                <c:pt idx="1">
                  <c:v>Sand</c:v>
                </c:pt>
                <c:pt idx="2">
                  <c:v>Gravel</c:v>
                </c:pt>
                <c:pt idx="3">
                  <c:v>Clay</c:v>
                </c:pt>
              </c:strCache>
            </c:strRef>
          </c:cat>
          <c:val>
            <c:numRef>
              <c:f>'WAGR Disposal Results'!$B$221:$E$221</c:f>
              <c:numCache>
                <c:formatCode>0.00E+00</c:formatCode>
                <c:ptCount val="4"/>
                <c:pt idx="0">
                  <c:v>18400</c:v>
                </c:pt>
                <c:pt idx="1">
                  <c:v>269</c:v>
                </c:pt>
                <c:pt idx="2">
                  <c:v>304</c:v>
                </c:pt>
                <c:pt idx="3">
                  <c:v>357</c:v>
                </c:pt>
              </c:numCache>
            </c:numRef>
          </c:val>
        </c:ser>
        <c:overlap val="100"/>
        <c:axId val="62062976"/>
        <c:axId val="62064896"/>
      </c:barChart>
      <c:catAx>
        <c:axId val="620629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Backfill Material</a:t>
                </a:r>
              </a:p>
            </c:rich>
          </c:tx>
          <c:layout>
            <c:manualLayout>
              <c:xMode val="edge"/>
              <c:yMode val="edge"/>
              <c:x val="0.49264730144026114"/>
              <c:y val="0.88749815721853664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64896"/>
        <c:crosses val="autoZero"/>
        <c:auto val="1"/>
        <c:lblAlgn val="ctr"/>
        <c:lblOffset val="100"/>
        <c:tickLblSkip val="1"/>
        <c:tickMarkSkip val="1"/>
      </c:catAx>
      <c:valAx>
        <c:axId val="620648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3896954057213437E-2"/>
              <c:y val="0.28749953499906999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6297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3017411058911752"/>
          <c:y val="3.719015438030876E-2"/>
          <c:w val="0.85880094399964713"/>
          <c:h val="0.1652892994674878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3188976377952799"/>
          <c:y val="0.23424186281527604"/>
          <c:w val="0.848425351850704"/>
          <c:h val="0.22852414838519503"/>
        </c:manualLayout>
      </c:layout>
      <c:barChart>
        <c:barDir val="col"/>
        <c:grouping val="clustered"/>
        <c:ser>
          <c:idx val="0"/>
          <c:order val="0"/>
          <c:tx>
            <c:strRef>
              <c:f>'WAGR Disposal Results'!$B$225</c:f>
              <c:strCache>
                <c:ptCount val="1"/>
                <c:pt idx="0">
                  <c:v>Bentonite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Results'!$A$226:$A$236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Results'!$B$226:$B$236</c:f>
              <c:numCache>
                <c:formatCode>0.00</c:formatCode>
                <c:ptCount val="11"/>
                <c:pt idx="0">
                  <c:v>21.6</c:v>
                </c:pt>
                <c:pt idx="1">
                  <c:v>0.126</c:v>
                </c:pt>
                <c:pt idx="2">
                  <c:v>121</c:v>
                </c:pt>
                <c:pt idx="3">
                  <c:v>35.1</c:v>
                </c:pt>
                <c:pt idx="4">
                  <c:v>0.65200000000000002</c:v>
                </c:pt>
                <c:pt idx="5">
                  <c:v>0.184</c:v>
                </c:pt>
                <c:pt idx="6">
                  <c:v>13.5</c:v>
                </c:pt>
                <c:pt idx="7">
                  <c:v>4.33</c:v>
                </c:pt>
                <c:pt idx="8">
                  <c:v>5.82</c:v>
                </c:pt>
                <c:pt idx="9">
                  <c:v>41.2</c:v>
                </c:pt>
                <c:pt idx="10">
                  <c:v>163</c:v>
                </c:pt>
              </c:numCache>
            </c:numRef>
          </c:val>
        </c:ser>
        <c:ser>
          <c:idx val="1"/>
          <c:order val="1"/>
          <c:tx>
            <c:strRef>
              <c:f>'WAGR Disposal Results'!$C$225</c:f>
              <c:strCache>
                <c:ptCount val="1"/>
                <c:pt idx="0">
                  <c:v>Sand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Results'!$A$226:$A$236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Results'!$C$226:$C$236</c:f>
              <c:numCache>
                <c:formatCode>0.00</c:formatCode>
                <c:ptCount val="11"/>
                <c:pt idx="0">
                  <c:v>20.100000000000001</c:v>
                </c:pt>
                <c:pt idx="1">
                  <c:v>0.108</c:v>
                </c:pt>
                <c:pt idx="2">
                  <c:v>105</c:v>
                </c:pt>
                <c:pt idx="3">
                  <c:v>31.4</c:v>
                </c:pt>
                <c:pt idx="4">
                  <c:v>0.61499999999999999</c:v>
                </c:pt>
                <c:pt idx="5">
                  <c:v>8.5400000000000007E-3</c:v>
                </c:pt>
                <c:pt idx="6">
                  <c:v>12.7</c:v>
                </c:pt>
                <c:pt idx="7">
                  <c:v>3.72</c:v>
                </c:pt>
                <c:pt idx="8">
                  <c:v>6.52</c:v>
                </c:pt>
                <c:pt idx="9">
                  <c:v>40</c:v>
                </c:pt>
                <c:pt idx="10">
                  <c:v>119</c:v>
                </c:pt>
              </c:numCache>
            </c:numRef>
          </c:val>
        </c:ser>
        <c:ser>
          <c:idx val="2"/>
          <c:order val="2"/>
          <c:tx>
            <c:strRef>
              <c:f>'WAGR Disposal Results'!$D$225</c:f>
              <c:strCache>
                <c:ptCount val="1"/>
                <c:pt idx="0">
                  <c:v>Gravel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Results'!$A$226:$A$236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Results'!$D$226:$D$236</c:f>
              <c:numCache>
                <c:formatCode>0.00</c:formatCode>
                <c:ptCount val="11"/>
                <c:pt idx="0">
                  <c:v>20.100000000000001</c:v>
                </c:pt>
                <c:pt idx="1">
                  <c:v>0.108</c:v>
                </c:pt>
                <c:pt idx="2">
                  <c:v>105</c:v>
                </c:pt>
                <c:pt idx="3">
                  <c:v>31.4</c:v>
                </c:pt>
                <c:pt idx="4">
                  <c:v>0.61599999999999999</c:v>
                </c:pt>
                <c:pt idx="5">
                  <c:v>8.5500000000000003E-3</c:v>
                </c:pt>
                <c:pt idx="6">
                  <c:v>12.7</c:v>
                </c:pt>
                <c:pt idx="7">
                  <c:v>3.72</c:v>
                </c:pt>
                <c:pt idx="8">
                  <c:v>6.52</c:v>
                </c:pt>
                <c:pt idx="9">
                  <c:v>40</c:v>
                </c:pt>
                <c:pt idx="10">
                  <c:v>119</c:v>
                </c:pt>
              </c:numCache>
            </c:numRef>
          </c:val>
        </c:ser>
        <c:ser>
          <c:idx val="3"/>
          <c:order val="3"/>
          <c:tx>
            <c:strRef>
              <c:f>'WAGR Disposal Results'!$E$225</c:f>
              <c:strCache>
                <c:ptCount val="1"/>
                <c:pt idx="0">
                  <c:v>Clay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Results'!$A$226:$A$236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Results'!$E$226:$E$236</c:f>
              <c:numCache>
                <c:formatCode>0.00</c:formatCode>
                <c:ptCount val="11"/>
                <c:pt idx="0">
                  <c:v>20.100000000000001</c:v>
                </c:pt>
                <c:pt idx="1">
                  <c:v>0.108</c:v>
                </c:pt>
                <c:pt idx="2">
                  <c:v>105</c:v>
                </c:pt>
                <c:pt idx="3">
                  <c:v>31.4</c:v>
                </c:pt>
                <c:pt idx="4">
                  <c:v>0.61399999999999999</c:v>
                </c:pt>
                <c:pt idx="5">
                  <c:v>8.5500000000000003E-3</c:v>
                </c:pt>
                <c:pt idx="6">
                  <c:v>12.7</c:v>
                </c:pt>
                <c:pt idx="7">
                  <c:v>3.73</c:v>
                </c:pt>
                <c:pt idx="8">
                  <c:v>6.58</c:v>
                </c:pt>
                <c:pt idx="9">
                  <c:v>40</c:v>
                </c:pt>
                <c:pt idx="10">
                  <c:v>119</c:v>
                </c:pt>
              </c:numCache>
            </c:numRef>
          </c:val>
        </c:ser>
        <c:axId val="62132608"/>
        <c:axId val="62134528"/>
      </c:barChart>
      <c:catAx>
        <c:axId val="621326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8301904800493423"/>
              <c:y val="0.8631604382785484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34528"/>
        <c:crosses val="autoZero"/>
        <c:auto val="1"/>
        <c:lblAlgn val="ctr"/>
        <c:lblOffset val="100"/>
        <c:tickLblSkip val="1"/>
        <c:tickMarkSkip val="1"/>
      </c:catAx>
      <c:valAx>
        <c:axId val="621345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4528391926995404E-2"/>
              <c:y val="0.18421130691996834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3260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440841285009921"/>
          <c:y val="3.4810180370754382E-2"/>
          <c:w val="0.45969163715061268"/>
          <c:h val="0.1518989688905645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5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66015625"/>
          <c:y val="0.26344043688087404"/>
          <c:w val="0.81445312499999989"/>
          <c:h val="0.18817119634239304"/>
        </c:manualLayout>
      </c:layout>
      <c:barChart>
        <c:barDir val="col"/>
        <c:grouping val="clustered"/>
        <c:ser>
          <c:idx val="0"/>
          <c:order val="0"/>
          <c:tx>
            <c:strRef>
              <c:f>'WAGR Disposal Results'!$B$238</c:f>
              <c:strCache>
                <c:ptCount val="1"/>
                <c:pt idx="0">
                  <c:v>Bentonite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Results'!$A$239:$A$249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Results'!$B$239:$B$249</c:f>
              <c:numCache>
                <c:formatCode>General</c:formatCode>
                <c:ptCount val="11"/>
                <c:pt idx="0" formatCode="0.00E+00">
                  <c:v>8510</c:v>
                </c:pt>
                <c:pt idx="1">
                  <c:v>50.2</c:v>
                </c:pt>
                <c:pt idx="2" formatCode="0.00E+00">
                  <c:v>48600</c:v>
                </c:pt>
                <c:pt idx="3" formatCode="0.00E+00">
                  <c:v>14100</c:v>
                </c:pt>
                <c:pt idx="4">
                  <c:v>261</c:v>
                </c:pt>
                <c:pt idx="5">
                  <c:v>7.36</c:v>
                </c:pt>
                <c:pt idx="6" formatCode="0.00E+00">
                  <c:v>5380</c:v>
                </c:pt>
                <c:pt idx="7" formatCode="0.00E+00">
                  <c:v>1750</c:v>
                </c:pt>
                <c:pt idx="8" formatCode="0.00E+00">
                  <c:v>2330</c:v>
                </c:pt>
                <c:pt idx="9" formatCode="0.00E+00">
                  <c:v>8250</c:v>
                </c:pt>
                <c:pt idx="10" formatCode="0.00E+00">
                  <c:v>32600</c:v>
                </c:pt>
              </c:numCache>
            </c:numRef>
          </c:val>
        </c:ser>
        <c:ser>
          <c:idx val="1"/>
          <c:order val="1"/>
          <c:tx>
            <c:strRef>
              <c:f>'WAGR Disposal Results'!$C$238</c:f>
              <c:strCache>
                <c:ptCount val="1"/>
                <c:pt idx="0">
                  <c:v>Sand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Results'!$A$239:$A$249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Results'!$C$239:$C$249</c:f>
              <c:numCache>
                <c:formatCode>General</c:formatCode>
                <c:ptCount val="11"/>
                <c:pt idx="0" formatCode="0.00E+00">
                  <c:v>8040</c:v>
                </c:pt>
                <c:pt idx="1">
                  <c:v>43</c:v>
                </c:pt>
                <c:pt idx="2" formatCode="0.00E+00">
                  <c:v>41800</c:v>
                </c:pt>
                <c:pt idx="3" formatCode="0.00E+00">
                  <c:v>12500</c:v>
                </c:pt>
                <c:pt idx="4">
                  <c:v>246</c:v>
                </c:pt>
                <c:pt idx="5">
                  <c:v>3.42</c:v>
                </c:pt>
                <c:pt idx="6" formatCode="0.00E+00">
                  <c:v>5100</c:v>
                </c:pt>
                <c:pt idx="7" formatCode="0.00E+00">
                  <c:v>1490</c:v>
                </c:pt>
                <c:pt idx="8" formatCode="0.00E+00">
                  <c:v>2610</c:v>
                </c:pt>
                <c:pt idx="9" formatCode="0.00E+00">
                  <c:v>8000</c:v>
                </c:pt>
                <c:pt idx="10" formatCode="0.00E+00">
                  <c:v>23700</c:v>
                </c:pt>
              </c:numCache>
            </c:numRef>
          </c:val>
        </c:ser>
        <c:ser>
          <c:idx val="2"/>
          <c:order val="2"/>
          <c:tx>
            <c:strRef>
              <c:f>'WAGR Disposal Results'!$D$238</c:f>
              <c:strCache>
                <c:ptCount val="1"/>
                <c:pt idx="0">
                  <c:v>Gravel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Results'!$A$239:$A$249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Results'!$D$239:$D$249</c:f>
              <c:numCache>
                <c:formatCode>General</c:formatCode>
                <c:ptCount val="11"/>
                <c:pt idx="0" formatCode="0.00E+00">
                  <c:v>8040</c:v>
                </c:pt>
                <c:pt idx="1">
                  <c:v>43</c:v>
                </c:pt>
                <c:pt idx="2" formatCode="0.00E+00">
                  <c:v>41800</c:v>
                </c:pt>
                <c:pt idx="3" formatCode="0.00E+00">
                  <c:v>12500</c:v>
                </c:pt>
                <c:pt idx="4">
                  <c:v>246</c:v>
                </c:pt>
                <c:pt idx="5">
                  <c:v>3.42</c:v>
                </c:pt>
                <c:pt idx="6" formatCode="0.00E+00">
                  <c:v>5100</c:v>
                </c:pt>
                <c:pt idx="7" formatCode="0.00E+00">
                  <c:v>1490</c:v>
                </c:pt>
                <c:pt idx="8" formatCode="0.00E+00">
                  <c:v>2610</c:v>
                </c:pt>
                <c:pt idx="9" formatCode="0.00E+00">
                  <c:v>8000</c:v>
                </c:pt>
                <c:pt idx="10" formatCode="0.00E+00">
                  <c:v>23700</c:v>
                </c:pt>
              </c:numCache>
            </c:numRef>
          </c:val>
        </c:ser>
        <c:ser>
          <c:idx val="3"/>
          <c:order val="3"/>
          <c:tx>
            <c:strRef>
              <c:f>'WAGR Disposal Results'!$E$238</c:f>
              <c:strCache>
                <c:ptCount val="1"/>
                <c:pt idx="0">
                  <c:v>Clay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Results'!$A$239:$A$249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Results'!$E$239:$E$249</c:f>
              <c:numCache>
                <c:formatCode>General</c:formatCode>
                <c:ptCount val="11"/>
                <c:pt idx="0" formatCode="0.00E+00">
                  <c:v>8040</c:v>
                </c:pt>
                <c:pt idx="1">
                  <c:v>43.1</c:v>
                </c:pt>
                <c:pt idx="2" formatCode="0.00E+00">
                  <c:v>41900</c:v>
                </c:pt>
                <c:pt idx="3" formatCode="0.00E+00">
                  <c:v>12500</c:v>
                </c:pt>
                <c:pt idx="4">
                  <c:v>245</c:v>
                </c:pt>
                <c:pt idx="5">
                  <c:v>3.42</c:v>
                </c:pt>
                <c:pt idx="6" formatCode="0.00E+00">
                  <c:v>5100</c:v>
                </c:pt>
                <c:pt idx="7" formatCode="0.00E+00">
                  <c:v>1490</c:v>
                </c:pt>
                <c:pt idx="8" formatCode="0.00E+00">
                  <c:v>2630</c:v>
                </c:pt>
                <c:pt idx="9" formatCode="0.00E+00">
                  <c:v>7990</c:v>
                </c:pt>
                <c:pt idx="10" formatCode="0.00E+00">
                  <c:v>23700</c:v>
                </c:pt>
              </c:numCache>
            </c:numRef>
          </c:val>
        </c:ser>
        <c:axId val="62189952"/>
        <c:axId val="62191872"/>
      </c:barChart>
      <c:catAx>
        <c:axId val="621899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315027472160206"/>
              <c:y val="0.86021298293127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91872"/>
        <c:crosses val="autoZero"/>
        <c:auto val="1"/>
        <c:lblAlgn val="ctr"/>
        <c:lblOffset val="100"/>
        <c:tickLblSkip val="1"/>
        <c:tickMarkSkip val="1"/>
      </c:catAx>
      <c:valAx>
        <c:axId val="621918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5440156143470179E-2"/>
              <c:y val="8.602103081063911E-2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8995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222428459276563"/>
          <c:y val="4.1269969214934324E-2"/>
          <c:w val="0.44991548333666315"/>
          <c:h val="0.1396829727274700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5913571461720502"/>
          <c:y val="0.3118811881188121"/>
          <c:w val="0.82121869343935106"/>
          <c:h val="0.43564395415919499"/>
        </c:manualLayout>
      </c:layout>
      <c:barChart>
        <c:barDir val="col"/>
        <c:grouping val="stacked"/>
        <c:ser>
          <c:idx val="0"/>
          <c:order val="0"/>
          <c:tx>
            <c:strRef>
              <c:f>'WAGR Disposal Results'!$A$254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Results'!$B$253:$D$253</c:f>
              <c:strCache>
                <c:ptCount val="3"/>
                <c:pt idx="0">
                  <c:v>Low Density </c:v>
                </c:pt>
                <c:pt idx="1">
                  <c:v>Average Density</c:v>
                </c:pt>
                <c:pt idx="2">
                  <c:v>High Density </c:v>
                </c:pt>
              </c:strCache>
            </c:strRef>
          </c:cat>
          <c:val>
            <c:numRef>
              <c:f>'WAGR Disposal Results'!$B$254:$D$254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Disposal Results'!$A$255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Results'!$B$253:$D$253</c:f>
              <c:strCache>
                <c:ptCount val="3"/>
                <c:pt idx="0">
                  <c:v>Low Density </c:v>
                </c:pt>
                <c:pt idx="1">
                  <c:v>Average Density</c:v>
                </c:pt>
                <c:pt idx="2">
                  <c:v>High Density </c:v>
                </c:pt>
              </c:strCache>
            </c:strRef>
          </c:cat>
          <c:val>
            <c:numRef>
              <c:f>'WAGR Disposal Results'!$B$255:$D$255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'WAGR Disposal Results'!$A$256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Results'!$B$253:$D$253</c:f>
              <c:strCache>
                <c:ptCount val="3"/>
                <c:pt idx="0">
                  <c:v>Low Density </c:v>
                </c:pt>
                <c:pt idx="1">
                  <c:v>Average Density</c:v>
                </c:pt>
                <c:pt idx="2">
                  <c:v>High Density </c:v>
                </c:pt>
              </c:strCache>
            </c:strRef>
          </c:cat>
          <c:val>
            <c:numRef>
              <c:f>'WAGR Disposal Results'!$B$256:$D$256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'WAGR Disposal Results'!$A$257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Results'!$B$253:$D$253</c:f>
              <c:strCache>
                <c:ptCount val="3"/>
                <c:pt idx="0">
                  <c:v>Low Density </c:v>
                </c:pt>
                <c:pt idx="1">
                  <c:v>Average Density</c:v>
                </c:pt>
                <c:pt idx="2">
                  <c:v>High Density </c:v>
                </c:pt>
              </c:strCache>
            </c:strRef>
          </c:cat>
          <c:val>
            <c:numRef>
              <c:f>'WAGR Disposal Results'!$B$257:$D$257</c:f>
              <c:numCache>
                <c:formatCode>General</c:formatCode>
                <c:ptCount val="3"/>
                <c:pt idx="0">
                  <c:v>440</c:v>
                </c:pt>
                <c:pt idx="1">
                  <c:v>440</c:v>
                </c:pt>
                <c:pt idx="2">
                  <c:v>440</c:v>
                </c:pt>
              </c:numCache>
            </c:numRef>
          </c:val>
        </c:ser>
        <c:ser>
          <c:idx val="4"/>
          <c:order val="4"/>
          <c:tx>
            <c:strRef>
              <c:f>'WAGR Disposal Results'!$A$258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Results'!$B$253:$D$253</c:f>
              <c:strCache>
                <c:ptCount val="3"/>
                <c:pt idx="0">
                  <c:v>Low Density </c:v>
                </c:pt>
                <c:pt idx="1">
                  <c:v>Average Density</c:v>
                </c:pt>
                <c:pt idx="2">
                  <c:v>High Density </c:v>
                </c:pt>
              </c:strCache>
            </c:strRef>
          </c:cat>
          <c:val>
            <c:numRef>
              <c:f>'WAGR Disposal Results'!$B$258:$D$258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strRef>
              <c:f>'WAGR Disposal Results'!$A$259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Results'!$B$253:$D$253</c:f>
              <c:strCache>
                <c:ptCount val="3"/>
                <c:pt idx="0">
                  <c:v>Low Density </c:v>
                </c:pt>
                <c:pt idx="1">
                  <c:v>Average Density</c:v>
                </c:pt>
                <c:pt idx="2">
                  <c:v>High Density </c:v>
                </c:pt>
              </c:strCache>
            </c:strRef>
          </c:cat>
          <c:val>
            <c:numRef>
              <c:f>'WAGR Disposal Results'!$B$259:$D$259</c:f>
              <c:numCache>
                <c:formatCode>0.00E+00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'WAGR Disposal Results'!$A$260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Results'!$B$253:$D$253</c:f>
              <c:strCache>
                <c:ptCount val="3"/>
                <c:pt idx="0">
                  <c:v>Low Density </c:v>
                </c:pt>
                <c:pt idx="1">
                  <c:v>Average Density</c:v>
                </c:pt>
                <c:pt idx="2">
                  <c:v>High Density </c:v>
                </c:pt>
              </c:strCache>
            </c:strRef>
          </c:cat>
          <c:val>
            <c:numRef>
              <c:f>'WAGR Disposal Results'!$B$260:$D$260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'WAGR Disposal Results'!$A$261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Results'!$B$253:$D$253</c:f>
              <c:strCache>
                <c:ptCount val="3"/>
                <c:pt idx="0">
                  <c:v>Low Density </c:v>
                </c:pt>
                <c:pt idx="1">
                  <c:v>Average Density</c:v>
                </c:pt>
                <c:pt idx="2">
                  <c:v>High Density </c:v>
                </c:pt>
              </c:strCache>
            </c:strRef>
          </c:cat>
          <c:val>
            <c:numRef>
              <c:f>'WAGR Disposal Results'!$B$261:$D$261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8"/>
          <c:order val="8"/>
          <c:tx>
            <c:strRef>
              <c:f>'WAGR Disposal Results'!$A$262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Results'!$B$253:$D$253</c:f>
              <c:strCache>
                <c:ptCount val="3"/>
                <c:pt idx="0">
                  <c:v>Low Density </c:v>
                </c:pt>
                <c:pt idx="1">
                  <c:v>Average Density</c:v>
                </c:pt>
                <c:pt idx="2">
                  <c:v>High Density </c:v>
                </c:pt>
              </c:strCache>
            </c:strRef>
          </c:cat>
          <c:val>
            <c:numRef>
              <c:f>'WAGR Disposal Results'!$B$262:$D$262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9"/>
          <c:order val="9"/>
          <c:tx>
            <c:strRef>
              <c:f>'WAGR Disposal Results'!$A$263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Results'!$B$253:$D$253</c:f>
              <c:strCache>
                <c:ptCount val="3"/>
                <c:pt idx="0">
                  <c:v>Low Density </c:v>
                </c:pt>
                <c:pt idx="1">
                  <c:v>Average Density</c:v>
                </c:pt>
                <c:pt idx="2">
                  <c:v>High Density </c:v>
                </c:pt>
              </c:strCache>
            </c:strRef>
          </c:cat>
          <c:val>
            <c:numRef>
              <c:f>'WAGR Disposal Results'!$B$263:$D$263</c:f>
              <c:numCache>
                <c:formatCode>0.00E+00</c:formatCode>
                <c:ptCount val="3"/>
                <c:pt idx="0">
                  <c:v>101000</c:v>
                </c:pt>
                <c:pt idx="1">
                  <c:v>101000</c:v>
                </c:pt>
                <c:pt idx="2">
                  <c:v>101000</c:v>
                </c:pt>
              </c:numCache>
            </c:numRef>
          </c:val>
        </c:ser>
        <c:ser>
          <c:idx val="10"/>
          <c:order val="10"/>
          <c:tx>
            <c:strRef>
              <c:f>'WAGR Disposal Results'!$A$264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Results'!$B$253:$D$253</c:f>
              <c:strCache>
                <c:ptCount val="3"/>
                <c:pt idx="0">
                  <c:v>Low Density </c:v>
                </c:pt>
                <c:pt idx="1">
                  <c:v>Average Density</c:v>
                </c:pt>
                <c:pt idx="2">
                  <c:v>High Density </c:v>
                </c:pt>
              </c:strCache>
            </c:strRef>
          </c:cat>
          <c:val>
            <c:numRef>
              <c:f>'WAGR Disposal Results'!$B$264:$D$264</c:f>
              <c:numCache>
                <c:formatCode>0.00E+00</c:formatCode>
                <c:ptCount val="3"/>
                <c:pt idx="0">
                  <c:v>2280</c:v>
                </c:pt>
                <c:pt idx="1">
                  <c:v>2770</c:v>
                </c:pt>
                <c:pt idx="2">
                  <c:v>3310</c:v>
                </c:pt>
              </c:numCache>
            </c:numRef>
          </c:val>
        </c:ser>
        <c:ser>
          <c:idx val="11"/>
          <c:order val="11"/>
          <c:tx>
            <c:strRef>
              <c:f>'WAGR Disposal Results'!$A$265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Results'!$B$253:$D$253</c:f>
              <c:strCache>
                <c:ptCount val="3"/>
                <c:pt idx="0">
                  <c:v>Low Density </c:v>
                </c:pt>
                <c:pt idx="1">
                  <c:v>Average Density</c:v>
                </c:pt>
                <c:pt idx="2">
                  <c:v>High Density </c:v>
                </c:pt>
              </c:strCache>
            </c:strRef>
          </c:cat>
          <c:val>
            <c:numRef>
              <c:f>'WAGR Disposal Results'!$B$265:$D$265</c:f>
              <c:numCache>
                <c:formatCode>0.00E+00</c:formatCode>
                <c:ptCount val="3"/>
                <c:pt idx="0">
                  <c:v>16700</c:v>
                </c:pt>
                <c:pt idx="1">
                  <c:v>20300</c:v>
                </c:pt>
                <c:pt idx="2">
                  <c:v>24300</c:v>
                </c:pt>
              </c:numCache>
            </c:numRef>
          </c:val>
        </c:ser>
        <c:overlap val="100"/>
        <c:axId val="62339712"/>
        <c:axId val="62354176"/>
      </c:barChart>
      <c:catAx>
        <c:axId val="623397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Cement Backfill</a:t>
                </a:r>
              </a:p>
            </c:rich>
          </c:tx>
          <c:layout>
            <c:manualLayout>
              <c:xMode val="edge"/>
              <c:yMode val="edge"/>
              <c:x val="0.49431758530183728"/>
              <c:y val="0.87128763771785167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354176"/>
        <c:crosses val="autoZero"/>
        <c:auto val="1"/>
        <c:lblAlgn val="ctr"/>
        <c:lblOffset val="100"/>
        <c:tickLblSkip val="1"/>
        <c:tickMarkSkip val="1"/>
      </c:catAx>
      <c:valAx>
        <c:axId val="623541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</a:t>
                </a:r>
              </a:p>
            </c:rich>
          </c:tx>
          <c:layout>
            <c:manualLayout>
              <c:xMode val="edge"/>
              <c:yMode val="edge"/>
              <c:x val="2.4621220292668895E-2"/>
              <c:y val="0.31188132456894213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33971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760723425352939"/>
          <c:y val="5.309749809152059E-2"/>
          <c:w val="0.63077028373778665"/>
          <c:h val="0.2241894363864202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377210216110003"/>
          <c:y val="0.21319796954314701"/>
          <c:w val="0.85658215119966585"/>
          <c:h val="0.269035532994924"/>
        </c:manualLayout>
      </c:layout>
      <c:barChart>
        <c:barDir val="col"/>
        <c:grouping val="clustered"/>
        <c:ser>
          <c:idx val="0"/>
          <c:order val="0"/>
          <c:tx>
            <c:strRef>
              <c:f>'WAGR Disposal Results'!$B$269</c:f>
              <c:strCache>
                <c:ptCount val="1"/>
                <c:pt idx="0">
                  <c:v>Low Density 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Results'!$A$270:$A$280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Results'!$B$270:$B$280</c:f>
              <c:numCache>
                <c:formatCode>0.00</c:formatCode>
                <c:ptCount val="11"/>
                <c:pt idx="0">
                  <c:v>20.5</c:v>
                </c:pt>
                <c:pt idx="1">
                  <c:v>0.124</c:v>
                </c:pt>
                <c:pt idx="2">
                  <c:v>119</c:v>
                </c:pt>
                <c:pt idx="3">
                  <c:v>44.7</c:v>
                </c:pt>
                <c:pt idx="4">
                  <c:v>0.65500000000000003</c:v>
                </c:pt>
                <c:pt idx="5">
                  <c:v>1.04E-2</c:v>
                </c:pt>
                <c:pt idx="6">
                  <c:v>13</c:v>
                </c:pt>
                <c:pt idx="7">
                  <c:v>4.6100000000000003</c:v>
                </c:pt>
                <c:pt idx="8">
                  <c:v>6.78</c:v>
                </c:pt>
                <c:pt idx="9">
                  <c:v>40.299999999999997</c:v>
                </c:pt>
                <c:pt idx="10">
                  <c:v>141</c:v>
                </c:pt>
              </c:numCache>
            </c:numRef>
          </c:val>
        </c:ser>
        <c:ser>
          <c:idx val="1"/>
          <c:order val="1"/>
          <c:tx>
            <c:strRef>
              <c:f>'WAGR Disposal Results'!$C$269</c:f>
              <c:strCache>
                <c:ptCount val="1"/>
                <c:pt idx="0">
                  <c:v>Average Density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Results'!$A$270:$A$280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Results'!$C$270:$C$280</c:f>
              <c:numCache>
                <c:formatCode>0.00</c:formatCode>
                <c:ptCount val="11"/>
                <c:pt idx="0">
                  <c:v>20.6</c:v>
                </c:pt>
                <c:pt idx="1">
                  <c:v>0.128</c:v>
                </c:pt>
                <c:pt idx="2">
                  <c:v>123</c:v>
                </c:pt>
                <c:pt idx="3">
                  <c:v>47.9</c:v>
                </c:pt>
                <c:pt idx="4">
                  <c:v>0.66500000000000004</c:v>
                </c:pt>
                <c:pt idx="5">
                  <c:v>1.09E-2</c:v>
                </c:pt>
                <c:pt idx="6">
                  <c:v>13.1</c:v>
                </c:pt>
                <c:pt idx="7">
                  <c:v>4.83</c:v>
                </c:pt>
                <c:pt idx="8">
                  <c:v>6.84</c:v>
                </c:pt>
                <c:pt idx="9">
                  <c:v>40.4</c:v>
                </c:pt>
                <c:pt idx="10">
                  <c:v>147</c:v>
                </c:pt>
              </c:numCache>
            </c:numRef>
          </c:val>
        </c:ser>
        <c:ser>
          <c:idx val="2"/>
          <c:order val="2"/>
          <c:tx>
            <c:strRef>
              <c:f>'WAGR Disposal Results'!$D$269</c:f>
              <c:strCache>
                <c:ptCount val="1"/>
                <c:pt idx="0">
                  <c:v>High Density 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Results'!$A$270:$A$280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Results'!$D$270:$D$280</c:f>
              <c:numCache>
                <c:formatCode>0.00</c:formatCode>
                <c:ptCount val="11"/>
                <c:pt idx="0">
                  <c:v>20.7</c:v>
                </c:pt>
                <c:pt idx="1">
                  <c:v>0.13200000000000001</c:v>
                </c:pt>
                <c:pt idx="2">
                  <c:v>127</c:v>
                </c:pt>
                <c:pt idx="3">
                  <c:v>51.6</c:v>
                </c:pt>
                <c:pt idx="4">
                  <c:v>0.67600000000000005</c:v>
                </c:pt>
                <c:pt idx="5">
                  <c:v>1.14E-2</c:v>
                </c:pt>
                <c:pt idx="6">
                  <c:v>13.1</c:v>
                </c:pt>
                <c:pt idx="7">
                  <c:v>5.08</c:v>
                </c:pt>
                <c:pt idx="8">
                  <c:v>6.92</c:v>
                </c:pt>
                <c:pt idx="9">
                  <c:v>40.5</c:v>
                </c:pt>
                <c:pt idx="10">
                  <c:v>153</c:v>
                </c:pt>
              </c:numCache>
            </c:numRef>
          </c:val>
        </c:ser>
        <c:axId val="62392192"/>
        <c:axId val="62410752"/>
      </c:barChart>
      <c:catAx>
        <c:axId val="62392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8393161471254448"/>
              <c:y val="0.8693486041517537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410752"/>
        <c:crosses val="autoZero"/>
        <c:auto val="1"/>
        <c:lblAlgn val="ctr"/>
        <c:lblOffset val="100"/>
        <c:tickLblSkip val="1"/>
        <c:tickMarkSkip val="1"/>
      </c:catAx>
      <c:valAx>
        <c:axId val="624107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Values</a:t>
                </a:r>
              </a:p>
            </c:rich>
          </c:tx>
          <c:layout>
            <c:manualLayout>
              <c:xMode val="edge"/>
              <c:yMode val="edge"/>
              <c:x val="2.4574659331967067E-2"/>
              <c:y val="0.1859301678199316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39219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982949357220481"/>
          <c:y val="4.5454679967684562E-2"/>
          <c:w val="0.38803483579533221"/>
          <c:h val="0.1242427919116711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5413548635367902"/>
          <c:y val="0.19055296255388898"/>
          <c:w val="0.82706840921200597"/>
          <c:h val="0.38009121031816701"/>
        </c:manualLayout>
      </c:layout>
      <c:barChart>
        <c:barDir val="col"/>
        <c:grouping val="clustered"/>
        <c:ser>
          <c:idx val="0"/>
          <c:order val="0"/>
          <c:tx>
            <c:strRef>
              <c:f>'WAGR Disposal Results'!$B$282</c:f>
              <c:strCache>
                <c:ptCount val="1"/>
                <c:pt idx="0">
                  <c:v>Low Density 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Results'!$A$283:$A$293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Results'!$B$283:$B$293</c:f>
              <c:numCache>
                <c:formatCode>General</c:formatCode>
                <c:ptCount val="11"/>
                <c:pt idx="0" formatCode="0.00E+00">
                  <c:v>8190</c:v>
                </c:pt>
                <c:pt idx="1">
                  <c:v>49.5</c:v>
                </c:pt>
                <c:pt idx="2" formatCode="0.00E+00">
                  <c:v>47600</c:v>
                </c:pt>
                <c:pt idx="3" formatCode="0.00E+00">
                  <c:v>17900</c:v>
                </c:pt>
                <c:pt idx="4">
                  <c:v>262</c:v>
                </c:pt>
                <c:pt idx="5">
                  <c:v>4.16</c:v>
                </c:pt>
                <c:pt idx="6" formatCode="0.00E+00">
                  <c:v>5200</c:v>
                </c:pt>
                <c:pt idx="7" formatCode="0.00E+00">
                  <c:v>1840</c:v>
                </c:pt>
                <c:pt idx="8" formatCode="0.00E+00">
                  <c:v>2710</c:v>
                </c:pt>
                <c:pt idx="9" formatCode="0.00E+00">
                  <c:v>8060</c:v>
                </c:pt>
                <c:pt idx="10" formatCode="0.00E+00">
                  <c:v>28300</c:v>
                </c:pt>
              </c:numCache>
            </c:numRef>
          </c:val>
        </c:ser>
        <c:ser>
          <c:idx val="1"/>
          <c:order val="1"/>
          <c:tx>
            <c:strRef>
              <c:f>'WAGR Disposal Results'!$C$282</c:f>
              <c:strCache>
                <c:ptCount val="1"/>
                <c:pt idx="0">
                  <c:v>Average Density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Results'!$A$283:$A$293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Results'!$C$283:$C$293</c:f>
              <c:numCache>
                <c:formatCode>General</c:formatCode>
                <c:ptCount val="11"/>
                <c:pt idx="0" formatCode="0.00E+00">
                  <c:v>8230</c:v>
                </c:pt>
                <c:pt idx="1">
                  <c:v>51.1</c:v>
                </c:pt>
                <c:pt idx="2" formatCode="0.00E+00">
                  <c:v>49000</c:v>
                </c:pt>
                <c:pt idx="3" formatCode="0.00E+00">
                  <c:v>19200</c:v>
                </c:pt>
                <c:pt idx="4">
                  <c:v>266</c:v>
                </c:pt>
                <c:pt idx="5">
                  <c:v>4.34</c:v>
                </c:pt>
                <c:pt idx="6" formatCode="0.00E+00">
                  <c:v>5220</c:v>
                </c:pt>
                <c:pt idx="7" formatCode="0.00E+00">
                  <c:v>1930</c:v>
                </c:pt>
                <c:pt idx="8" formatCode="0.00E+00">
                  <c:v>2740</c:v>
                </c:pt>
                <c:pt idx="9" formatCode="0.00E+00">
                  <c:v>8080</c:v>
                </c:pt>
                <c:pt idx="10" formatCode="0.00E+00">
                  <c:v>29400</c:v>
                </c:pt>
              </c:numCache>
            </c:numRef>
          </c:val>
        </c:ser>
        <c:ser>
          <c:idx val="2"/>
          <c:order val="2"/>
          <c:tx>
            <c:strRef>
              <c:f>'WAGR Disposal Results'!$D$282</c:f>
              <c:strCache>
                <c:ptCount val="1"/>
                <c:pt idx="0">
                  <c:v>High Density 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Results'!$A$283:$A$293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Results'!$D$283:$D$293</c:f>
              <c:numCache>
                <c:formatCode>General</c:formatCode>
                <c:ptCount val="11"/>
                <c:pt idx="0" formatCode="0.00E+00">
                  <c:v>8270</c:v>
                </c:pt>
                <c:pt idx="1">
                  <c:v>52.9</c:v>
                </c:pt>
                <c:pt idx="2" formatCode="0.00E+00">
                  <c:v>50600</c:v>
                </c:pt>
                <c:pt idx="3" formatCode="0.00E+00">
                  <c:v>20600</c:v>
                </c:pt>
                <c:pt idx="4">
                  <c:v>271</c:v>
                </c:pt>
                <c:pt idx="5">
                  <c:v>4.54</c:v>
                </c:pt>
                <c:pt idx="6" formatCode="0.00E+00">
                  <c:v>5250</c:v>
                </c:pt>
                <c:pt idx="7" formatCode="0.00E+00">
                  <c:v>2030</c:v>
                </c:pt>
                <c:pt idx="8" formatCode="0.00E+00">
                  <c:v>2770</c:v>
                </c:pt>
                <c:pt idx="9" formatCode="0.00E+00">
                  <c:v>8100</c:v>
                </c:pt>
                <c:pt idx="10" formatCode="0.00E+00">
                  <c:v>30700</c:v>
                </c:pt>
              </c:numCache>
            </c:numRef>
          </c:val>
        </c:ser>
        <c:ser>
          <c:idx val="3"/>
          <c:order val="3"/>
          <c:tx>
            <c:strRef>
              <c:f>'WAGR Disposal Results'!$E$282</c:f>
              <c:strCache>
                <c:ptCount val="1"/>
                <c:pt idx="0">
                  <c:v>Bentonite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Results'!$A$283:$A$293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Results'!$E$283:$E$293</c:f>
              <c:numCache>
                <c:formatCode>General</c:formatCode>
                <c:ptCount val="11"/>
                <c:pt idx="0" formatCode="0.00E+00">
                  <c:v>8510</c:v>
                </c:pt>
                <c:pt idx="1">
                  <c:v>50.2</c:v>
                </c:pt>
                <c:pt idx="2" formatCode="0.00E+00">
                  <c:v>48600</c:v>
                </c:pt>
                <c:pt idx="3" formatCode="0.00E+00">
                  <c:v>14100</c:v>
                </c:pt>
                <c:pt idx="4">
                  <c:v>261</c:v>
                </c:pt>
                <c:pt idx="5">
                  <c:v>7.36</c:v>
                </c:pt>
                <c:pt idx="6" formatCode="0.00E+00">
                  <c:v>5380</c:v>
                </c:pt>
                <c:pt idx="7" formatCode="0.00E+00">
                  <c:v>1750</c:v>
                </c:pt>
                <c:pt idx="8" formatCode="0.00E+00">
                  <c:v>2330</c:v>
                </c:pt>
                <c:pt idx="9" formatCode="0.00E+00">
                  <c:v>8250</c:v>
                </c:pt>
                <c:pt idx="10" formatCode="0.00E+00">
                  <c:v>32600</c:v>
                </c:pt>
              </c:numCache>
            </c:numRef>
          </c:val>
        </c:ser>
        <c:axId val="62453632"/>
        <c:axId val="62468096"/>
      </c:barChart>
      <c:catAx>
        <c:axId val="624536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338352218167852"/>
              <c:y val="0.8823542413235496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468096"/>
        <c:crosses val="autoZero"/>
        <c:auto val="1"/>
        <c:lblAlgn val="ctr"/>
        <c:lblOffset val="100"/>
        <c:tickLblSkip val="1"/>
        <c:tickMarkSkip val="1"/>
      </c:catAx>
      <c:valAx>
        <c:axId val="62468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457461110044171E-2"/>
              <c:y val="0.15384640387443829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45363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922100054931687"/>
          <c:y val="4.9535603715170282E-2"/>
          <c:w val="0.43019514619516841"/>
          <c:h val="0.12383900928792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4648437500000003"/>
          <c:y val="0.23560168198870399"/>
          <c:w val="0.833984375"/>
          <c:h val="0.23036607989446303"/>
        </c:manualLayout>
      </c:layout>
      <c:barChart>
        <c:barDir val="col"/>
        <c:grouping val="clustered"/>
        <c:ser>
          <c:idx val="0"/>
          <c:order val="0"/>
          <c:tx>
            <c:strRef>
              <c:f>'WAGR Disposal Results'!$B$282</c:f>
              <c:strCache>
                <c:ptCount val="1"/>
                <c:pt idx="0">
                  <c:v>Low Density 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Results'!$A$283:$A$293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Results'!$B$283:$B$293</c:f>
              <c:numCache>
                <c:formatCode>General</c:formatCode>
                <c:ptCount val="11"/>
                <c:pt idx="0" formatCode="0.00E+00">
                  <c:v>8190</c:v>
                </c:pt>
                <c:pt idx="1">
                  <c:v>49.5</c:v>
                </c:pt>
                <c:pt idx="2" formatCode="0.00E+00">
                  <c:v>47600</c:v>
                </c:pt>
                <c:pt idx="3" formatCode="0.00E+00">
                  <c:v>17900</c:v>
                </c:pt>
                <c:pt idx="4">
                  <c:v>262</c:v>
                </c:pt>
                <c:pt idx="5">
                  <c:v>4.16</c:v>
                </c:pt>
                <c:pt idx="6" formatCode="0.00E+00">
                  <c:v>5200</c:v>
                </c:pt>
                <c:pt idx="7" formatCode="0.00E+00">
                  <c:v>1840</c:v>
                </c:pt>
                <c:pt idx="8" formatCode="0.00E+00">
                  <c:v>2710</c:v>
                </c:pt>
                <c:pt idx="9" formatCode="0.00E+00">
                  <c:v>8060</c:v>
                </c:pt>
                <c:pt idx="10" formatCode="0.00E+00">
                  <c:v>28300</c:v>
                </c:pt>
              </c:numCache>
            </c:numRef>
          </c:val>
        </c:ser>
        <c:ser>
          <c:idx val="1"/>
          <c:order val="1"/>
          <c:tx>
            <c:strRef>
              <c:f>'WAGR Disposal Results'!$C$282</c:f>
              <c:strCache>
                <c:ptCount val="1"/>
                <c:pt idx="0">
                  <c:v>Average Density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Results'!$A$283:$A$293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Results'!$C$283:$C$293</c:f>
              <c:numCache>
                <c:formatCode>General</c:formatCode>
                <c:ptCount val="11"/>
                <c:pt idx="0" formatCode="0.00E+00">
                  <c:v>8230</c:v>
                </c:pt>
                <c:pt idx="1">
                  <c:v>51.1</c:v>
                </c:pt>
                <c:pt idx="2" formatCode="0.00E+00">
                  <c:v>49000</c:v>
                </c:pt>
                <c:pt idx="3" formatCode="0.00E+00">
                  <c:v>19200</c:v>
                </c:pt>
                <c:pt idx="4">
                  <c:v>266</c:v>
                </c:pt>
                <c:pt idx="5">
                  <c:v>4.34</c:v>
                </c:pt>
                <c:pt idx="6" formatCode="0.00E+00">
                  <c:v>5220</c:v>
                </c:pt>
                <c:pt idx="7" formatCode="0.00E+00">
                  <c:v>1930</c:v>
                </c:pt>
                <c:pt idx="8" formatCode="0.00E+00">
                  <c:v>2740</c:v>
                </c:pt>
                <c:pt idx="9" formatCode="0.00E+00">
                  <c:v>8080</c:v>
                </c:pt>
                <c:pt idx="10" formatCode="0.00E+00">
                  <c:v>29400</c:v>
                </c:pt>
              </c:numCache>
            </c:numRef>
          </c:val>
        </c:ser>
        <c:ser>
          <c:idx val="2"/>
          <c:order val="2"/>
          <c:tx>
            <c:strRef>
              <c:f>'WAGR Disposal Results'!$D$282</c:f>
              <c:strCache>
                <c:ptCount val="1"/>
                <c:pt idx="0">
                  <c:v>High Density 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Disposal Results'!$A$283:$A$293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Disposal Results'!$D$283:$D$293</c:f>
              <c:numCache>
                <c:formatCode>General</c:formatCode>
                <c:ptCount val="11"/>
                <c:pt idx="0" formatCode="0.00E+00">
                  <c:v>8270</c:v>
                </c:pt>
                <c:pt idx="1">
                  <c:v>52.9</c:v>
                </c:pt>
                <c:pt idx="2" formatCode="0.00E+00">
                  <c:v>50600</c:v>
                </c:pt>
                <c:pt idx="3" formatCode="0.00E+00">
                  <c:v>20600</c:v>
                </c:pt>
                <c:pt idx="4">
                  <c:v>271</c:v>
                </c:pt>
                <c:pt idx="5">
                  <c:v>4.54</c:v>
                </c:pt>
                <c:pt idx="6" formatCode="0.00E+00">
                  <c:v>5250</c:v>
                </c:pt>
                <c:pt idx="7" formatCode="0.00E+00">
                  <c:v>2030</c:v>
                </c:pt>
                <c:pt idx="8" formatCode="0.00E+00">
                  <c:v>2770</c:v>
                </c:pt>
                <c:pt idx="9" formatCode="0.00E+00">
                  <c:v>8100</c:v>
                </c:pt>
                <c:pt idx="10" formatCode="0.00E+00">
                  <c:v>30700</c:v>
                </c:pt>
              </c:numCache>
            </c:numRef>
          </c:val>
        </c:ser>
        <c:axId val="62498304"/>
        <c:axId val="62500224"/>
      </c:barChart>
      <c:catAx>
        <c:axId val="624983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338342045105144"/>
              <c:y val="0.8645828067787821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500224"/>
        <c:crosses val="autoZero"/>
        <c:auto val="1"/>
        <c:lblAlgn val="ctr"/>
        <c:lblOffset val="100"/>
        <c:tickLblSkip val="1"/>
        <c:tickMarkSkip val="1"/>
      </c:catAx>
      <c:valAx>
        <c:axId val="625002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4574593710590929E-2"/>
              <c:y val="9.8958232072842739E-2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49830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850383068902577"/>
          <c:y val="4.9382864893376538E-2"/>
          <c:w val="0.37925233055034702"/>
          <c:h val="0.1296300203451133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996398482713506"/>
          <c:y val="0.22711845610562104"/>
          <c:w val="0.85198612275566188"/>
          <c:h val="0.66440622980151798"/>
        </c:manualLayout>
      </c:layout>
      <c:barChart>
        <c:barDir val="col"/>
        <c:grouping val="stacked"/>
        <c:ser>
          <c:idx val="0"/>
          <c:order val="0"/>
          <c:tx>
            <c:strRef>
              <c:f>'WAGR Reference Results'!$A$3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Results'!$B$2:$E$2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Results'!$B$3:$E$3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Reference Results'!$A$4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Results'!$B$2:$E$2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Results'!$B$4:$E$4</c:f>
              <c:numCache>
                <c:formatCode>0.00E+00</c:formatCode>
                <c:ptCount val="4"/>
                <c:pt idx="0">
                  <c:v>0</c:v>
                </c:pt>
                <c:pt idx="1">
                  <c:v>24100</c:v>
                </c:pt>
                <c:pt idx="2">
                  <c:v>1000</c:v>
                </c:pt>
                <c:pt idx="3">
                  <c:v>1000</c:v>
                </c:pt>
              </c:numCache>
            </c:numRef>
          </c:val>
        </c:ser>
        <c:ser>
          <c:idx val="2"/>
          <c:order val="2"/>
          <c:tx>
            <c:strRef>
              <c:f>'WAGR Reference Results'!$A$5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Results'!$B$2:$E$2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Results'!$B$5:$E$5</c:f>
              <c:numCache>
                <c:formatCode>0.00E+00</c:formatCode>
                <c:ptCount val="4"/>
                <c:pt idx="0">
                  <c:v>0</c:v>
                </c:pt>
                <c:pt idx="1">
                  <c:v>22100</c:v>
                </c:pt>
                <c:pt idx="2">
                  <c:v>923</c:v>
                </c:pt>
                <c:pt idx="3">
                  <c:v>923</c:v>
                </c:pt>
              </c:numCache>
            </c:numRef>
          </c:val>
        </c:ser>
        <c:ser>
          <c:idx val="3"/>
          <c:order val="3"/>
          <c:tx>
            <c:strRef>
              <c:f>'WAGR Reference Results'!$A$6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Results'!$B$2:$E$2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Results'!$B$6:$E$6</c:f>
              <c:numCache>
                <c:formatCode>General</c:formatCode>
                <c:ptCount val="4"/>
                <c:pt idx="0">
                  <c:v>440</c:v>
                </c:pt>
                <c:pt idx="1">
                  <c:v>87.2</c:v>
                </c:pt>
                <c:pt idx="2" formatCode="0.00E+00">
                  <c:v>1503</c:v>
                </c:pt>
                <c:pt idx="3" formatCode="0.00E+00">
                  <c:v>5820</c:v>
                </c:pt>
              </c:numCache>
            </c:numRef>
          </c:val>
        </c:ser>
        <c:ser>
          <c:idx val="4"/>
          <c:order val="4"/>
          <c:tx>
            <c:strRef>
              <c:f>'WAGR Reference Results'!$A$7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Results'!$B$2:$E$2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 formatCode="0.00E+00">
                  <c:v>4070</c:v>
                </c:pt>
                <c:pt idx="3" formatCode="0.00E+00">
                  <c:v>3095</c:v>
                </c:pt>
              </c:numCache>
            </c:numRef>
          </c:val>
        </c:ser>
        <c:ser>
          <c:idx val="5"/>
          <c:order val="5"/>
          <c:tx>
            <c:strRef>
              <c:f>'WAGR Reference Results'!$A$8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Results'!$B$2:$E$2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Results'!$B$8:$E$8</c:f>
              <c:numCache>
                <c:formatCode>0.00E+00</c:formatCode>
                <c:ptCount val="4"/>
                <c:pt idx="0">
                  <c:v>0</c:v>
                </c:pt>
                <c:pt idx="1">
                  <c:v>3234</c:v>
                </c:pt>
                <c:pt idx="2">
                  <c:v>3234</c:v>
                </c:pt>
                <c:pt idx="3">
                  <c:v>3234</c:v>
                </c:pt>
              </c:numCache>
            </c:numRef>
          </c:val>
        </c:ser>
        <c:ser>
          <c:idx val="6"/>
          <c:order val="6"/>
          <c:tx>
            <c:strRef>
              <c:f>'WAGR Reference Results'!$A$9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Results'!$B$2:$E$2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Results'!$B$9:$E$9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 formatCode="0.00E+00">
                  <c:v>4550</c:v>
                </c:pt>
                <c:pt idx="3" formatCode="0.00E+00">
                  <c:v>4550</c:v>
                </c:pt>
              </c:numCache>
            </c:numRef>
          </c:val>
        </c:ser>
        <c:ser>
          <c:idx val="7"/>
          <c:order val="7"/>
          <c:tx>
            <c:strRef>
              <c:f>'WAGR Reference Results'!$A$10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Results'!$B$2:$E$2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Results'!$B$10:$E$10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 formatCode="0.00E+00">
                  <c:v>4122</c:v>
                </c:pt>
                <c:pt idx="3" formatCode="0.00E+00">
                  <c:v>3757</c:v>
                </c:pt>
              </c:numCache>
            </c:numRef>
          </c:val>
        </c:ser>
        <c:ser>
          <c:idx val="8"/>
          <c:order val="8"/>
          <c:tx>
            <c:strRef>
              <c:f>'WAGR Reference Results'!$A$11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Results'!$B$2:$E$2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Results'!$B$11:$E$11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 formatCode="0.00E+00">
                  <c:v>-73600</c:v>
                </c:pt>
                <c:pt idx="3" formatCode="0.00E+00">
                  <c:v>-73600</c:v>
                </c:pt>
              </c:numCache>
            </c:numRef>
          </c:val>
        </c:ser>
        <c:ser>
          <c:idx val="9"/>
          <c:order val="9"/>
          <c:tx>
            <c:strRef>
              <c:f>'WAGR Reference Results'!$A$12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Results'!$B$2:$E$2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Results'!$B$12:$E$12</c:f>
              <c:numCache>
                <c:formatCode>0.00E+00</c:formatCode>
                <c:ptCount val="4"/>
                <c:pt idx="0">
                  <c:v>101000</c:v>
                </c:pt>
                <c:pt idx="1">
                  <c:v>125500</c:v>
                </c:pt>
                <c:pt idx="2">
                  <c:v>5252</c:v>
                </c:pt>
                <c:pt idx="3">
                  <c:v>5252</c:v>
                </c:pt>
              </c:numCache>
            </c:numRef>
          </c:val>
        </c:ser>
        <c:ser>
          <c:idx val="10"/>
          <c:order val="10"/>
          <c:tx>
            <c:strRef>
              <c:f>'WAGR Reference Results'!$A$13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Results'!$B$2:$E$2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Results'!$B$13:$E$13</c:f>
              <c:numCache>
                <c:formatCode>0.00E+00</c:formatCode>
                <c:ptCount val="4"/>
                <c:pt idx="0">
                  <c:v>2770</c:v>
                </c:pt>
                <c:pt idx="1">
                  <c:v>4264</c:v>
                </c:pt>
                <c:pt idx="2">
                  <c:v>320.7</c:v>
                </c:pt>
                <c:pt idx="3">
                  <c:v>320.7</c:v>
                </c:pt>
              </c:numCache>
            </c:numRef>
          </c:val>
        </c:ser>
        <c:ser>
          <c:idx val="11"/>
          <c:order val="11"/>
          <c:tx>
            <c:strRef>
              <c:f>'WAGR Reference Results'!$A$14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Results'!$B$2:$E$2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Results'!$B$14:$E$14</c:f>
              <c:numCache>
                <c:formatCode>0.00E+00</c:formatCode>
                <c:ptCount val="4"/>
                <c:pt idx="0">
                  <c:v>20300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overlap val="100"/>
        <c:axId val="49805184"/>
        <c:axId val="49885184"/>
      </c:barChart>
      <c:catAx>
        <c:axId val="498051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Disposition Option</a:t>
                </a:r>
              </a:p>
            </c:rich>
          </c:tx>
          <c:layout>
            <c:manualLayout>
              <c:xMode val="edge"/>
              <c:yMode val="edge"/>
              <c:x val="0.48140490325144686"/>
              <c:y val="0.89068872111809827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885184"/>
        <c:crosses val="autoZero"/>
        <c:auto val="1"/>
        <c:lblAlgn val="ctr"/>
        <c:lblOffset val="1000"/>
        <c:tickLblSkip val="1"/>
        <c:tickMarkSkip val="1"/>
      </c:catAx>
      <c:valAx>
        <c:axId val="498851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Score (Pt)</a:t>
                </a:r>
              </a:p>
            </c:rich>
          </c:tx>
          <c:layout>
            <c:manualLayout>
              <c:xMode val="edge"/>
              <c:yMode val="edge"/>
              <c:x val="2.6859418597911855E-2"/>
              <c:y val="0.30364342901073293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80518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405873099108547"/>
          <c:y val="3.6354545575576658E-2"/>
          <c:w val="0.69218668065023592"/>
          <c:h val="0.14769034140078016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21314730669737705"/>
          <c:y val="0.131488111429687"/>
          <c:w val="0.61952161105499315"/>
          <c:h val="0.52249223226007013"/>
        </c:manualLayout>
      </c:layout>
      <c:barChart>
        <c:barDir val="col"/>
        <c:grouping val="clustered"/>
        <c:ser>
          <c:idx val="0"/>
          <c:order val="1"/>
          <c:tx>
            <c:strRef>
              <c:f>'General metal graphs'!$D$154</c:f>
              <c:strCache>
                <c:ptCount val="1"/>
                <c:pt idx="0">
                  <c:v>LLW (Including VLLW) (2010 UKRWI)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graphs'!$A$155:$A$165</c:f>
              <c:numCache>
                <c:formatCode>General</c:formatCode>
                <c:ptCount val="11"/>
                <c:pt idx="0">
                  <c:v>2010</c:v>
                </c:pt>
                <c:pt idx="1">
                  <c:v>2020</c:v>
                </c:pt>
                <c:pt idx="2">
                  <c:v>2030</c:v>
                </c:pt>
                <c:pt idx="3">
                  <c:v>2040</c:v>
                </c:pt>
                <c:pt idx="4">
                  <c:v>2050</c:v>
                </c:pt>
                <c:pt idx="5">
                  <c:v>2060</c:v>
                </c:pt>
                <c:pt idx="6">
                  <c:v>2070</c:v>
                </c:pt>
                <c:pt idx="7">
                  <c:v>2080</c:v>
                </c:pt>
                <c:pt idx="8">
                  <c:v>2090</c:v>
                </c:pt>
                <c:pt idx="9">
                  <c:v>2100</c:v>
                </c:pt>
                <c:pt idx="10">
                  <c:v>2110</c:v>
                </c:pt>
              </c:numCache>
            </c:numRef>
          </c:cat>
          <c:val>
            <c:numRef>
              <c:f>'General metal graphs'!$D$155:$D$165</c:f>
              <c:numCache>
                <c:formatCode>General</c:formatCode>
                <c:ptCount val="11"/>
                <c:pt idx="0">
                  <c:v>396100</c:v>
                </c:pt>
                <c:pt idx="1">
                  <c:v>305000</c:v>
                </c:pt>
                <c:pt idx="2">
                  <c:v>220000</c:v>
                </c:pt>
                <c:pt idx="3">
                  <c:v>446500</c:v>
                </c:pt>
                <c:pt idx="4">
                  <c:v>446500</c:v>
                </c:pt>
                <c:pt idx="5">
                  <c:v>372500</c:v>
                </c:pt>
                <c:pt idx="6">
                  <c:v>372500</c:v>
                </c:pt>
                <c:pt idx="7">
                  <c:v>372500</c:v>
                </c:pt>
                <c:pt idx="8">
                  <c:v>372500</c:v>
                </c:pt>
                <c:pt idx="9">
                  <c:v>530000</c:v>
                </c:pt>
                <c:pt idx="10">
                  <c:v>530000</c:v>
                </c:pt>
              </c:numCache>
            </c:numRef>
          </c:val>
        </c:ser>
        <c:axId val="52825472"/>
        <c:axId val="52836224"/>
      </c:barChart>
      <c:lineChart>
        <c:grouping val="standard"/>
        <c:ser>
          <c:idx val="1"/>
          <c:order val="0"/>
          <c:tx>
            <c:strRef>
              <c:f>'General metal graphs'!$C$154</c:f>
              <c:strCache>
                <c:ptCount val="1"/>
                <c:pt idx="0">
                  <c:v>ILW (2010 UKRWI)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numRef>
              <c:f>'General metal graphs'!$A$155:$A$165</c:f>
              <c:numCache>
                <c:formatCode>General</c:formatCode>
                <c:ptCount val="11"/>
                <c:pt idx="0">
                  <c:v>2010</c:v>
                </c:pt>
                <c:pt idx="1">
                  <c:v>2020</c:v>
                </c:pt>
                <c:pt idx="2">
                  <c:v>2030</c:v>
                </c:pt>
                <c:pt idx="3">
                  <c:v>2040</c:v>
                </c:pt>
                <c:pt idx="4">
                  <c:v>2050</c:v>
                </c:pt>
                <c:pt idx="5">
                  <c:v>2060</c:v>
                </c:pt>
                <c:pt idx="6">
                  <c:v>2070</c:v>
                </c:pt>
                <c:pt idx="7">
                  <c:v>2080</c:v>
                </c:pt>
                <c:pt idx="8">
                  <c:v>2090</c:v>
                </c:pt>
                <c:pt idx="9">
                  <c:v>2100</c:v>
                </c:pt>
                <c:pt idx="10">
                  <c:v>2110</c:v>
                </c:pt>
              </c:numCache>
            </c:numRef>
          </c:cat>
          <c:val>
            <c:numRef>
              <c:f>'General metal graphs'!$C$155:$C$165</c:f>
              <c:numCache>
                <c:formatCode>General</c:formatCode>
                <c:ptCount val="11"/>
                <c:pt idx="0">
                  <c:v>19800</c:v>
                </c:pt>
                <c:pt idx="1">
                  <c:v>17400</c:v>
                </c:pt>
                <c:pt idx="2">
                  <c:v>21600</c:v>
                </c:pt>
                <c:pt idx="3">
                  <c:v>20250</c:v>
                </c:pt>
                <c:pt idx="4">
                  <c:v>20250</c:v>
                </c:pt>
                <c:pt idx="5">
                  <c:v>16300</c:v>
                </c:pt>
                <c:pt idx="6">
                  <c:v>16300</c:v>
                </c:pt>
                <c:pt idx="7">
                  <c:v>16300</c:v>
                </c:pt>
                <c:pt idx="8">
                  <c:v>16300</c:v>
                </c:pt>
                <c:pt idx="9">
                  <c:v>13900</c:v>
                </c:pt>
                <c:pt idx="10">
                  <c:v>13900</c:v>
                </c:pt>
              </c:numCache>
            </c:numRef>
          </c:val>
        </c:ser>
        <c:marker val="1"/>
        <c:axId val="52825472"/>
        <c:axId val="52836224"/>
      </c:lineChart>
      <c:lineChart>
        <c:grouping val="standard"/>
        <c:ser>
          <c:idx val="2"/>
          <c:order val="2"/>
          <c:tx>
            <c:strRef>
              <c:f>'General metal graphs'!$E$154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'General metal graphs'!$A$155:$A$165</c:f>
              <c:numCache>
                <c:formatCode>General</c:formatCode>
                <c:ptCount val="11"/>
                <c:pt idx="0">
                  <c:v>2010</c:v>
                </c:pt>
                <c:pt idx="1">
                  <c:v>2020</c:v>
                </c:pt>
                <c:pt idx="2">
                  <c:v>2030</c:v>
                </c:pt>
                <c:pt idx="3">
                  <c:v>2040</c:v>
                </c:pt>
                <c:pt idx="4">
                  <c:v>2050</c:v>
                </c:pt>
                <c:pt idx="5">
                  <c:v>2060</c:v>
                </c:pt>
                <c:pt idx="6">
                  <c:v>2070</c:v>
                </c:pt>
                <c:pt idx="7">
                  <c:v>2080</c:v>
                </c:pt>
                <c:pt idx="8">
                  <c:v>2090</c:v>
                </c:pt>
                <c:pt idx="9">
                  <c:v>2100</c:v>
                </c:pt>
                <c:pt idx="10">
                  <c:v>2110</c:v>
                </c:pt>
              </c:numCache>
            </c:numRef>
          </c:cat>
          <c:val>
            <c:numRef>
              <c:f>'General metal graphs'!$E$155:$E$165</c:f>
              <c:numCache>
                <c:formatCode>General</c:formatCode>
                <c:ptCount val="11"/>
                <c:pt idx="0">
                  <c:v>415900</c:v>
                </c:pt>
                <c:pt idx="1">
                  <c:v>322400</c:v>
                </c:pt>
                <c:pt idx="2">
                  <c:v>241600</c:v>
                </c:pt>
                <c:pt idx="3">
                  <c:v>466750</c:v>
                </c:pt>
                <c:pt idx="4">
                  <c:v>466750</c:v>
                </c:pt>
                <c:pt idx="5">
                  <c:v>388800</c:v>
                </c:pt>
                <c:pt idx="6">
                  <c:v>388800</c:v>
                </c:pt>
                <c:pt idx="7">
                  <c:v>388800</c:v>
                </c:pt>
                <c:pt idx="8">
                  <c:v>388800</c:v>
                </c:pt>
                <c:pt idx="9">
                  <c:v>543900</c:v>
                </c:pt>
                <c:pt idx="10">
                  <c:v>543900</c:v>
                </c:pt>
              </c:numCache>
            </c:numRef>
          </c:val>
        </c:ser>
        <c:marker val="1"/>
        <c:axId val="52846592"/>
        <c:axId val="52848128"/>
      </c:lineChart>
      <c:catAx>
        <c:axId val="528254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Years from 2010</a:t>
                </a:r>
              </a:p>
            </c:rich>
          </c:tx>
          <c:layout>
            <c:manualLayout>
              <c:xMode val="edge"/>
              <c:yMode val="edge"/>
              <c:x val="0.48507493014986031"/>
              <c:y val="0.9027782740877705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836224"/>
        <c:crosses val="autoZero"/>
        <c:lblAlgn val="ctr"/>
        <c:lblOffset val="100"/>
        <c:tickLblSkip val="1"/>
        <c:tickMarkSkip val="1"/>
      </c:catAx>
      <c:valAx>
        <c:axId val="5283622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Waste Volume Arisings (m3)</a:t>
                </a:r>
              </a:p>
            </c:rich>
          </c:tx>
          <c:layout>
            <c:manualLayout>
              <c:xMode val="edge"/>
              <c:yMode val="edge"/>
              <c:x val="2.4253661840657015E-2"/>
              <c:y val="0.2083332987070547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825472"/>
        <c:crosses val="autoZero"/>
        <c:crossBetween val="between"/>
      </c:valAx>
      <c:catAx>
        <c:axId val="52846592"/>
        <c:scaling>
          <c:orientation val="minMax"/>
        </c:scaling>
        <c:delete val="1"/>
        <c:axPos val="b"/>
        <c:numFmt formatCode="General" sourceLinked="1"/>
        <c:tickLblPos val="nextTo"/>
        <c:crossAx val="52848128"/>
        <c:crosses val="autoZero"/>
        <c:lblAlgn val="ctr"/>
        <c:lblOffset val="100"/>
      </c:catAx>
      <c:valAx>
        <c:axId val="52848128"/>
        <c:scaling>
          <c:orientation val="minMax"/>
        </c:scaling>
        <c:delete val="1"/>
        <c:axPos val="l"/>
        <c:numFmt formatCode="General" sourceLinked="1"/>
        <c:tickLblPos val="nextTo"/>
        <c:crossAx val="5284659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246492985971945"/>
          <c:y val="1.5611501285712833E-2"/>
          <c:w val="0.58517034068136276"/>
          <c:h val="6.244600514285133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>
      <c:oddHeader>&amp;A</c:oddHeader>
      <c:oddFooter>Page &amp;P</c:oddFooter>
    </c:headerFooter>
    <c:pageMargins b="1" l="0.75000000000000011" r="0.75000000000000011" t="1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9637659125362002E-2"/>
          <c:y val="0.10106382978723402"/>
          <c:w val="0.88224618171002278"/>
          <c:h val="0.79255319148936187"/>
        </c:manualLayout>
      </c:layout>
      <c:barChart>
        <c:barDir val="col"/>
        <c:grouping val="clustered"/>
        <c:ser>
          <c:idx val="0"/>
          <c:order val="0"/>
          <c:tx>
            <c:strRef>
              <c:f>'WAGR Reference Results'!$B$21</c:f>
              <c:strCache>
                <c:ptCount val="1"/>
                <c:pt idx="0">
                  <c:v>Direct Disposal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Results'!$A$22:$A$32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Reference Results'!$B$22:$B$32</c:f>
              <c:numCache>
                <c:formatCode>0.00</c:formatCode>
                <c:ptCount val="11"/>
                <c:pt idx="0">
                  <c:v>20.6</c:v>
                </c:pt>
                <c:pt idx="1">
                  <c:v>0.128</c:v>
                </c:pt>
                <c:pt idx="2">
                  <c:v>123</c:v>
                </c:pt>
                <c:pt idx="3">
                  <c:v>47.9</c:v>
                </c:pt>
                <c:pt idx="4">
                  <c:v>0.66500000000000004</c:v>
                </c:pt>
                <c:pt idx="5">
                  <c:v>1.09E-2</c:v>
                </c:pt>
                <c:pt idx="6">
                  <c:v>13.1</c:v>
                </c:pt>
                <c:pt idx="7">
                  <c:v>4.83</c:v>
                </c:pt>
                <c:pt idx="8">
                  <c:v>6.84</c:v>
                </c:pt>
                <c:pt idx="9">
                  <c:v>40.4</c:v>
                </c:pt>
                <c:pt idx="10">
                  <c:v>147</c:v>
                </c:pt>
              </c:numCache>
            </c:numRef>
          </c:val>
        </c:ser>
        <c:ser>
          <c:idx val="1"/>
          <c:order val="1"/>
          <c:tx>
            <c:strRef>
              <c:f>'WAGR Reference Results'!$C$21</c:f>
              <c:strCache>
                <c:ptCount val="1"/>
                <c:pt idx="0">
                  <c:v>Packaged 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Results'!$A$22:$A$32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Reference Results'!$C$22:$C$32</c:f>
              <c:numCache>
                <c:formatCode>0.00</c:formatCode>
                <c:ptCount val="11"/>
                <c:pt idx="0">
                  <c:v>29.3</c:v>
                </c:pt>
                <c:pt idx="1">
                  <c:v>0.17</c:v>
                </c:pt>
                <c:pt idx="2">
                  <c:v>197</c:v>
                </c:pt>
                <c:pt idx="3">
                  <c:v>53.3</c:v>
                </c:pt>
                <c:pt idx="4">
                  <c:v>0.88600000000000001</c:v>
                </c:pt>
                <c:pt idx="5">
                  <c:v>1.3899999999999999E-2</c:v>
                </c:pt>
                <c:pt idx="6">
                  <c:v>20.2</c:v>
                </c:pt>
                <c:pt idx="7">
                  <c:v>5.95</c:v>
                </c:pt>
                <c:pt idx="8">
                  <c:v>9.7100000000000009</c:v>
                </c:pt>
                <c:pt idx="9">
                  <c:v>63.6</c:v>
                </c:pt>
                <c:pt idx="10">
                  <c:v>203</c:v>
                </c:pt>
              </c:numCache>
            </c:numRef>
          </c:val>
        </c:ser>
        <c:ser>
          <c:idx val="2"/>
          <c:order val="2"/>
          <c:tx>
            <c:strRef>
              <c:f>'WAGR Reference Results'!$D$21</c:f>
              <c:strCache>
                <c:ptCount val="1"/>
                <c:pt idx="0">
                  <c:v>Bulk Recycling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Results'!$A$22:$A$32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Reference Results'!$D$22:$D$32</c:f>
              <c:numCache>
                <c:formatCode>0.00</c:formatCode>
                <c:ptCount val="11"/>
                <c:pt idx="0">
                  <c:v>21.8</c:v>
                </c:pt>
                <c:pt idx="1">
                  <c:v>-6.1700000000000004E-4</c:v>
                </c:pt>
                <c:pt idx="2">
                  <c:v>-133</c:v>
                </c:pt>
                <c:pt idx="3">
                  <c:v>-15.3</c:v>
                </c:pt>
                <c:pt idx="4">
                  <c:v>0.35199999999999998</c:v>
                </c:pt>
                <c:pt idx="5">
                  <c:v>2.2000000000000001E-3</c:v>
                </c:pt>
                <c:pt idx="6">
                  <c:v>10.199999999999999</c:v>
                </c:pt>
                <c:pt idx="7">
                  <c:v>-0.85399999999999998</c:v>
                </c:pt>
                <c:pt idx="8">
                  <c:v>-0.34399999999999997</c:v>
                </c:pt>
                <c:pt idx="9">
                  <c:v>-24.9</c:v>
                </c:pt>
                <c:pt idx="10">
                  <c:v>17.100000000000001</c:v>
                </c:pt>
              </c:numCache>
            </c:numRef>
          </c:val>
        </c:ser>
        <c:ser>
          <c:idx val="3"/>
          <c:order val="3"/>
          <c:tx>
            <c:strRef>
              <c:f>'WAGR Reference Results'!$E$21</c:f>
              <c:strCache>
                <c:ptCount val="1"/>
                <c:pt idx="0">
                  <c:v>Containerised Recycling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Results'!$A$22:$A$32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Reference Results'!$E$22:$E$32</c:f>
              <c:numCache>
                <c:formatCode>0.00</c:formatCode>
                <c:ptCount val="11"/>
                <c:pt idx="0">
                  <c:v>21.9</c:v>
                </c:pt>
                <c:pt idx="1">
                  <c:v>4.1599999999999996E-3</c:v>
                </c:pt>
                <c:pt idx="2">
                  <c:v>-130</c:v>
                </c:pt>
                <c:pt idx="3">
                  <c:v>-14.6</c:v>
                </c:pt>
                <c:pt idx="4">
                  <c:v>0.35399999999999998</c:v>
                </c:pt>
                <c:pt idx="5">
                  <c:v>2.8600000000000001E-3</c:v>
                </c:pt>
                <c:pt idx="6">
                  <c:v>10.3</c:v>
                </c:pt>
                <c:pt idx="7">
                  <c:v>-0.67300000000000004</c:v>
                </c:pt>
                <c:pt idx="8">
                  <c:v>-0.26300000000000001</c:v>
                </c:pt>
                <c:pt idx="9">
                  <c:v>-24.8</c:v>
                </c:pt>
                <c:pt idx="10">
                  <c:v>24.7</c:v>
                </c:pt>
              </c:numCache>
            </c:numRef>
          </c:val>
        </c:ser>
        <c:axId val="49911680"/>
        <c:axId val="50008064"/>
      </c:barChart>
      <c:catAx>
        <c:axId val="49911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8347105581691358"/>
              <c:y val="0.8761898973154672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008064"/>
        <c:crosses val="autoZero"/>
        <c:auto val="1"/>
        <c:lblAlgn val="ctr"/>
        <c:lblOffset val="100"/>
        <c:tickLblSkip val="1"/>
        <c:tickMarkSkip val="1"/>
      </c:catAx>
      <c:valAx>
        <c:axId val="500080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6859503100939638E-2"/>
              <c:y val="0.3380949486577336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91168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28782287822878228"/>
          <c:y val="0.4305717619603267"/>
          <c:w val="0.53136531365313655"/>
          <c:h val="7.701283547257876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6126015162219"/>
          <c:y val="0.16728624535316003"/>
          <c:w val="0.85405330266988422"/>
          <c:h val="0.5687732342007441"/>
        </c:manualLayout>
      </c:layout>
      <c:barChart>
        <c:barDir val="col"/>
        <c:grouping val="clustered"/>
        <c:ser>
          <c:idx val="0"/>
          <c:order val="0"/>
          <c:tx>
            <c:strRef>
              <c:f>'WAGR Reference Results'!$B$34</c:f>
              <c:strCache>
                <c:ptCount val="1"/>
                <c:pt idx="0">
                  <c:v>Direct Disposal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Results'!$A$35:$A$45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Reference Results'!$B$35:$B$45</c:f>
              <c:numCache>
                <c:formatCode>General</c:formatCode>
                <c:ptCount val="11"/>
                <c:pt idx="0" formatCode="0.00E+00">
                  <c:v>8230</c:v>
                </c:pt>
                <c:pt idx="1">
                  <c:v>51.1</c:v>
                </c:pt>
                <c:pt idx="2" formatCode="0.00E+00">
                  <c:v>49000</c:v>
                </c:pt>
                <c:pt idx="3" formatCode="0.00E+00">
                  <c:v>19200</c:v>
                </c:pt>
                <c:pt idx="4">
                  <c:v>266</c:v>
                </c:pt>
                <c:pt idx="5">
                  <c:v>4.34</c:v>
                </c:pt>
                <c:pt idx="6" formatCode="0.00E+00">
                  <c:v>5220</c:v>
                </c:pt>
                <c:pt idx="7" formatCode="0.00E+00">
                  <c:v>1930</c:v>
                </c:pt>
                <c:pt idx="8" formatCode="0.00E+00">
                  <c:v>2740</c:v>
                </c:pt>
                <c:pt idx="9" formatCode="0.00E+00">
                  <c:v>8080</c:v>
                </c:pt>
                <c:pt idx="10" formatCode="0.00E+00">
                  <c:v>29400</c:v>
                </c:pt>
              </c:numCache>
            </c:numRef>
          </c:val>
        </c:ser>
        <c:ser>
          <c:idx val="1"/>
          <c:order val="1"/>
          <c:tx>
            <c:strRef>
              <c:f>'WAGR Reference Results'!$C$34</c:f>
              <c:strCache>
                <c:ptCount val="1"/>
                <c:pt idx="0">
                  <c:v>Packaged 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Results'!$A$35:$A$45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Reference Results'!$C$35:$C$45</c:f>
              <c:numCache>
                <c:formatCode>General</c:formatCode>
                <c:ptCount val="11"/>
                <c:pt idx="0" formatCode="0.00E+00">
                  <c:v>11700</c:v>
                </c:pt>
                <c:pt idx="1">
                  <c:v>67.900000000000006</c:v>
                </c:pt>
                <c:pt idx="2" formatCode="0.00E+00">
                  <c:v>78600</c:v>
                </c:pt>
                <c:pt idx="3" formatCode="0.00E+00">
                  <c:v>21300</c:v>
                </c:pt>
                <c:pt idx="4" formatCode="0.00E+00">
                  <c:v>354</c:v>
                </c:pt>
                <c:pt idx="5">
                  <c:v>5.58</c:v>
                </c:pt>
                <c:pt idx="6" formatCode="0.00E+00">
                  <c:v>8090</c:v>
                </c:pt>
                <c:pt idx="7" formatCode="0.00E+00">
                  <c:v>2380</c:v>
                </c:pt>
                <c:pt idx="8" formatCode="0.00E+00">
                  <c:v>3880</c:v>
                </c:pt>
                <c:pt idx="9" formatCode="0.00E+00">
                  <c:v>12700</c:v>
                </c:pt>
                <c:pt idx="10" formatCode="0.00E+00">
                  <c:v>40600</c:v>
                </c:pt>
              </c:numCache>
            </c:numRef>
          </c:val>
        </c:ser>
        <c:ser>
          <c:idx val="2"/>
          <c:order val="2"/>
          <c:tx>
            <c:strRef>
              <c:f>'WAGR Reference Results'!$D$34</c:f>
              <c:strCache>
                <c:ptCount val="1"/>
                <c:pt idx="0">
                  <c:v>Bulk Recycling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Results'!$A$35:$A$45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Reference Results'!$D$35:$D$45</c:f>
              <c:numCache>
                <c:formatCode>General</c:formatCode>
                <c:ptCount val="11"/>
                <c:pt idx="0" formatCode="0.00E+00">
                  <c:v>8710</c:v>
                </c:pt>
                <c:pt idx="1">
                  <c:v>-0.247</c:v>
                </c:pt>
                <c:pt idx="2" formatCode="0.00E+00">
                  <c:v>-53200</c:v>
                </c:pt>
                <c:pt idx="3" formatCode="0.00E+00">
                  <c:v>-6100</c:v>
                </c:pt>
                <c:pt idx="4" formatCode="0.00E+00">
                  <c:v>141</c:v>
                </c:pt>
                <c:pt idx="5">
                  <c:v>0.88</c:v>
                </c:pt>
                <c:pt idx="6" formatCode="0.00E+00">
                  <c:v>4060</c:v>
                </c:pt>
                <c:pt idx="7" formatCode="0.00E+00">
                  <c:v>-342</c:v>
                </c:pt>
                <c:pt idx="8" formatCode="0.00E+00">
                  <c:v>-138</c:v>
                </c:pt>
                <c:pt idx="9" formatCode="0.00E+00">
                  <c:v>-4970</c:v>
                </c:pt>
                <c:pt idx="10" formatCode="0.00E+00">
                  <c:v>3420</c:v>
                </c:pt>
              </c:numCache>
            </c:numRef>
          </c:val>
        </c:ser>
        <c:ser>
          <c:idx val="3"/>
          <c:order val="3"/>
          <c:tx>
            <c:strRef>
              <c:f>'WAGR Reference Results'!$E$34</c:f>
              <c:strCache>
                <c:ptCount val="1"/>
                <c:pt idx="0">
                  <c:v>Containerised Recycling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Results'!$A$35:$A$45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Reference Results'!$E$35:$E$45</c:f>
              <c:numCache>
                <c:formatCode>General</c:formatCode>
                <c:ptCount val="11"/>
                <c:pt idx="0" formatCode="0.00E+00">
                  <c:v>8740</c:v>
                </c:pt>
                <c:pt idx="1">
                  <c:v>1.66</c:v>
                </c:pt>
                <c:pt idx="2" formatCode="0.00E+00">
                  <c:v>-52200</c:v>
                </c:pt>
                <c:pt idx="3" formatCode="0.00E+00">
                  <c:v>-5830</c:v>
                </c:pt>
                <c:pt idx="4" formatCode="0.00E+00">
                  <c:v>142</c:v>
                </c:pt>
                <c:pt idx="5">
                  <c:v>1.1399999999999999</c:v>
                </c:pt>
                <c:pt idx="6" formatCode="0.00E+00">
                  <c:v>4110</c:v>
                </c:pt>
                <c:pt idx="7" formatCode="0.00E+00">
                  <c:v>-269</c:v>
                </c:pt>
                <c:pt idx="8" formatCode="0.00E+00">
                  <c:v>-105</c:v>
                </c:pt>
                <c:pt idx="9" formatCode="0.00E+00">
                  <c:v>-4960</c:v>
                </c:pt>
                <c:pt idx="10" formatCode="0.00E+00">
                  <c:v>4940</c:v>
                </c:pt>
              </c:numCache>
            </c:numRef>
          </c:val>
        </c:ser>
        <c:axId val="50047232"/>
        <c:axId val="50053504"/>
      </c:barChart>
      <c:catAx>
        <c:axId val="50047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281368130870429"/>
              <c:y val="0.8846163941045830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053504"/>
        <c:crosses val="autoZero"/>
        <c:auto val="1"/>
        <c:lblAlgn val="ctr"/>
        <c:lblOffset val="100"/>
        <c:tickLblSkip val="1"/>
        <c:tickMarkSkip val="1"/>
      </c:catAx>
      <c:valAx>
        <c:axId val="500535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Impact (Pt)</a:t>
                </a:r>
              </a:p>
            </c:rich>
          </c:tx>
          <c:layout>
            <c:manualLayout>
              <c:xMode val="edge"/>
              <c:yMode val="edge"/>
              <c:x val="3.0575612010762806E-2"/>
              <c:y val="0.17910458308096103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04723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025170424750919"/>
          <c:y val="5.9824592425489952E-2"/>
          <c:w val="0.5270057682223388"/>
          <c:h val="6.700354351654874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>
        <c:manualLayout>
          <c:xMode val="edge"/>
          <c:yMode val="edge"/>
          <c:x val="0.44552569226719002"/>
          <c:y val="3.7036995817218962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26079441824653493"/>
          <c:y val="0.58762997523981508"/>
          <c:w val="5.6994806636659998E-2"/>
          <c:h val="0.17010341388521003"/>
        </c:manualLayout>
      </c:layout>
      <c:pieChart>
        <c:varyColors val="1"/>
        <c:ser>
          <c:idx val="0"/>
          <c:order val="0"/>
          <c:tx>
            <c:strRef>
              <c:f>'WAGR Reference Results'!$B$49</c:f>
              <c:strCache>
                <c:ptCount val="1"/>
                <c:pt idx="0">
                  <c:v>Bulk Recycling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B14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EF383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9D56A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AEB2B1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  <c:showLeaderLines val="1"/>
          </c:dLbls>
          <c:cat>
            <c:strRef>
              <c:f>'WAGR Reference Results'!$A$50:$A$59</c:f>
              <c:strCache>
                <c:ptCount val="10"/>
                <c:pt idx="0">
                  <c:v>HHISO Steel</c:v>
                </c:pt>
                <c:pt idx="1">
                  <c:v>HHISO Production</c:v>
                </c:pt>
                <c:pt idx="2">
                  <c:v>Road Transport</c:v>
                </c:pt>
                <c:pt idx="3">
                  <c:v>Sea Transport</c:v>
                </c:pt>
                <c:pt idx="4">
                  <c:v>Treatment</c:v>
                </c:pt>
                <c:pt idx="5">
                  <c:v>Melting</c:v>
                </c:pt>
                <c:pt idx="6">
                  <c:v>Secondary Waste</c:v>
                </c:pt>
                <c:pt idx="7">
                  <c:v>Recycling  Avoided Metal</c:v>
                </c:pt>
                <c:pt idx="8">
                  <c:v>Disposal</c:v>
                </c:pt>
                <c:pt idx="9">
                  <c:v>Grout</c:v>
                </c:pt>
              </c:strCache>
            </c:strRef>
          </c:cat>
          <c:val>
            <c:numRef>
              <c:f>'WAGR Reference Results'!$B$50:$B$59</c:f>
              <c:numCache>
                <c:formatCode>0.00E+00</c:formatCode>
                <c:ptCount val="10"/>
                <c:pt idx="0">
                  <c:v>1000</c:v>
                </c:pt>
                <c:pt idx="1">
                  <c:v>923</c:v>
                </c:pt>
                <c:pt idx="2">
                  <c:v>1503</c:v>
                </c:pt>
                <c:pt idx="3">
                  <c:v>4070</c:v>
                </c:pt>
                <c:pt idx="4">
                  <c:v>3234</c:v>
                </c:pt>
                <c:pt idx="5">
                  <c:v>4550</c:v>
                </c:pt>
                <c:pt idx="6">
                  <c:v>4122</c:v>
                </c:pt>
                <c:pt idx="7">
                  <c:v>-73600</c:v>
                </c:pt>
                <c:pt idx="8">
                  <c:v>5252</c:v>
                </c:pt>
                <c:pt idx="9">
                  <c:v>320.7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608744142228258"/>
          <c:y val="0.42857142857142855"/>
          <c:w val="0.16872163888466937"/>
          <c:h val="0.5560802833530106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>
        <c:manualLayout>
          <c:xMode val="edge"/>
          <c:yMode val="edge"/>
          <c:x val="0.40970823505482079"/>
          <c:y val="3.8135215856638614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41580721128717407"/>
          <c:y val="0.79293027063884813"/>
          <c:w val="4.1237078805339507E-2"/>
          <c:h val="0.12121227067090702"/>
        </c:manualLayout>
      </c:layout>
      <c:pieChart>
        <c:varyColors val="1"/>
        <c:ser>
          <c:idx val="1"/>
          <c:order val="0"/>
          <c:tx>
            <c:strRef>
              <c:f>'WAGR Reference Results'!$C$49</c:f>
              <c:strCache>
                <c:ptCount val="1"/>
                <c:pt idx="0">
                  <c:v>Containerised Recycling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EF383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9D56A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AEB2B1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  <c:showLeaderLines val="1"/>
          </c:dLbls>
          <c:cat>
            <c:strRef>
              <c:f>'WAGR Reference Results'!$A$50:$A$59</c:f>
              <c:strCache>
                <c:ptCount val="10"/>
                <c:pt idx="0">
                  <c:v>HHISO Steel</c:v>
                </c:pt>
                <c:pt idx="1">
                  <c:v>HHISO Production</c:v>
                </c:pt>
                <c:pt idx="2">
                  <c:v>Road Transport</c:v>
                </c:pt>
                <c:pt idx="3">
                  <c:v>Sea Transport</c:v>
                </c:pt>
                <c:pt idx="4">
                  <c:v>Treatment</c:v>
                </c:pt>
                <c:pt idx="5">
                  <c:v>Melting</c:v>
                </c:pt>
                <c:pt idx="6">
                  <c:v>Secondary Waste</c:v>
                </c:pt>
                <c:pt idx="7">
                  <c:v>Recycling  Avoided Metal</c:v>
                </c:pt>
                <c:pt idx="8">
                  <c:v>Disposal</c:v>
                </c:pt>
                <c:pt idx="9">
                  <c:v>Grout</c:v>
                </c:pt>
              </c:strCache>
            </c:strRef>
          </c:cat>
          <c:val>
            <c:numRef>
              <c:f>'WAGR Reference Results'!$C$50:$C$59</c:f>
              <c:numCache>
                <c:formatCode>0.00E+00</c:formatCode>
                <c:ptCount val="10"/>
                <c:pt idx="0">
                  <c:v>1000</c:v>
                </c:pt>
                <c:pt idx="1">
                  <c:v>923</c:v>
                </c:pt>
                <c:pt idx="2">
                  <c:v>5820</c:v>
                </c:pt>
                <c:pt idx="3">
                  <c:v>3095</c:v>
                </c:pt>
                <c:pt idx="4">
                  <c:v>3234</c:v>
                </c:pt>
                <c:pt idx="5">
                  <c:v>4550</c:v>
                </c:pt>
                <c:pt idx="6">
                  <c:v>3757</c:v>
                </c:pt>
                <c:pt idx="7">
                  <c:v>-73600</c:v>
                </c:pt>
                <c:pt idx="8">
                  <c:v>5252</c:v>
                </c:pt>
                <c:pt idx="9">
                  <c:v>320.7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15590450598038"/>
          <c:y val="0.43944636678200694"/>
          <c:w val="0.15345153936022091"/>
          <c:h val="0.5467128027681661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180755325591001"/>
          <c:y val="0.20416625128936502"/>
          <c:w val="0.85658214870285176"/>
          <c:h val="0.66249865214304227"/>
        </c:manualLayout>
      </c:layout>
      <c:barChart>
        <c:barDir val="col"/>
        <c:grouping val="stacked"/>
        <c:ser>
          <c:idx val="0"/>
          <c:order val="0"/>
          <c:tx>
            <c:strRef>
              <c:f>'WAGR Reference Results'!$A$91</c:f>
              <c:strCache>
                <c:ptCount val="1"/>
                <c:pt idx="0">
                  <c:v>Package cost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Results'!$B$90:$I$90</c:f>
              <c:strCache>
                <c:ptCount val="8"/>
                <c:pt idx="0">
                  <c:v>2011</c:v>
                </c:pt>
                <c:pt idx="1">
                  <c:v>20te/HHISO</c:v>
                </c:pt>
                <c:pt idx="2">
                  <c:v>2011</c:v>
                </c:pt>
                <c:pt idx="3">
                  <c:v>15te/HHISO</c:v>
                </c:pt>
                <c:pt idx="4">
                  <c:v>2011</c:v>
                </c:pt>
                <c:pt idx="5">
                  <c:v>10te/HHISO</c:v>
                </c:pt>
                <c:pt idx="6">
                  <c:v>2011</c:v>
                </c:pt>
                <c:pt idx="7">
                  <c:v>Whole Boilers</c:v>
                </c:pt>
              </c:strCache>
            </c:strRef>
          </c:cat>
          <c:val>
            <c:numRef>
              <c:f>'WAGR Reference Results'!$B$91:$I$91</c:f>
              <c:numCache>
                <c:formatCode>#,##0</c:formatCode>
                <c:ptCount val="8"/>
                <c:pt idx="0">
                  <c:v>192500</c:v>
                </c:pt>
                <c:pt idx="1">
                  <c:v>280000</c:v>
                </c:pt>
                <c:pt idx="2">
                  <c:v>264000</c:v>
                </c:pt>
                <c:pt idx="3">
                  <c:v>384000</c:v>
                </c:pt>
                <c:pt idx="4">
                  <c:v>412500</c:v>
                </c:pt>
                <c:pt idx="5">
                  <c:v>600000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Reference Results'!$A$92</c:f>
              <c:strCache>
                <c:ptCount val="1"/>
                <c:pt idx="0">
                  <c:v>Empty Package Transport Costs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Results'!$B$90:$I$90</c:f>
              <c:strCache>
                <c:ptCount val="8"/>
                <c:pt idx="0">
                  <c:v>2011</c:v>
                </c:pt>
                <c:pt idx="1">
                  <c:v>20te/HHISO</c:v>
                </c:pt>
                <c:pt idx="2">
                  <c:v>2011</c:v>
                </c:pt>
                <c:pt idx="3">
                  <c:v>15te/HHISO</c:v>
                </c:pt>
                <c:pt idx="4">
                  <c:v>2011</c:v>
                </c:pt>
                <c:pt idx="5">
                  <c:v>10te/HHISO</c:v>
                </c:pt>
                <c:pt idx="6">
                  <c:v>2011</c:v>
                </c:pt>
                <c:pt idx="7">
                  <c:v>Whole Boilers</c:v>
                </c:pt>
              </c:strCache>
            </c:strRef>
          </c:cat>
          <c:val>
            <c:numRef>
              <c:f>'WAGR Reference Results'!$B$92:$I$92</c:f>
              <c:numCache>
                <c:formatCode>#,##0</c:formatCode>
                <c:ptCount val="8"/>
                <c:pt idx="0">
                  <c:v>676.2</c:v>
                </c:pt>
                <c:pt idx="1">
                  <c:v>1003.1654992158913</c:v>
                </c:pt>
                <c:pt idx="2">
                  <c:v>927.36</c:v>
                </c:pt>
                <c:pt idx="3">
                  <c:v>1375.7698274960794</c:v>
                </c:pt>
                <c:pt idx="4">
                  <c:v>1449.0000000000002</c:v>
                </c:pt>
                <c:pt idx="5">
                  <c:v>2149.640355462624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'WAGR Reference Results'!$A$93</c:f>
              <c:strCache>
                <c:ptCount val="1"/>
                <c:pt idx="0">
                  <c:v>Full Package Transport Cost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Results'!$B$90:$I$90</c:f>
              <c:strCache>
                <c:ptCount val="8"/>
                <c:pt idx="0">
                  <c:v>2011</c:v>
                </c:pt>
                <c:pt idx="1">
                  <c:v>20te/HHISO</c:v>
                </c:pt>
                <c:pt idx="2">
                  <c:v>2011</c:v>
                </c:pt>
                <c:pt idx="3">
                  <c:v>15te/HHISO</c:v>
                </c:pt>
                <c:pt idx="4">
                  <c:v>2011</c:v>
                </c:pt>
                <c:pt idx="5">
                  <c:v>10te/HHISO</c:v>
                </c:pt>
                <c:pt idx="6">
                  <c:v>2011</c:v>
                </c:pt>
                <c:pt idx="7">
                  <c:v>Whole Boilers</c:v>
                </c:pt>
              </c:strCache>
            </c:strRef>
          </c:cat>
          <c:val>
            <c:numRef>
              <c:f>'WAGR Reference Results'!$B$93:$I$93</c:f>
              <c:numCache>
                <c:formatCode>#,##0</c:formatCode>
                <c:ptCount val="8"/>
                <c:pt idx="0">
                  <c:v>676.2</c:v>
                </c:pt>
                <c:pt idx="1">
                  <c:v>1003.1654992158913</c:v>
                </c:pt>
                <c:pt idx="2">
                  <c:v>927.36</c:v>
                </c:pt>
                <c:pt idx="3">
                  <c:v>1375.7698274960794</c:v>
                </c:pt>
                <c:pt idx="4">
                  <c:v>1449.0000000000002</c:v>
                </c:pt>
                <c:pt idx="5">
                  <c:v>2149.640355462624</c:v>
                </c:pt>
                <c:pt idx="6">
                  <c:v>12000</c:v>
                </c:pt>
                <c:pt idx="7">
                  <c:v>24000</c:v>
                </c:pt>
              </c:numCache>
            </c:numRef>
          </c:val>
        </c:ser>
        <c:ser>
          <c:idx val="3"/>
          <c:order val="3"/>
          <c:tx>
            <c:strRef>
              <c:f>'WAGR Reference Results'!$A$94</c:f>
              <c:strCache>
                <c:ptCount val="1"/>
                <c:pt idx="0">
                  <c:v>Disposal Volume Cost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Results'!$B$90:$I$90</c:f>
              <c:strCache>
                <c:ptCount val="8"/>
                <c:pt idx="0">
                  <c:v>2011</c:v>
                </c:pt>
                <c:pt idx="1">
                  <c:v>20te/HHISO</c:v>
                </c:pt>
                <c:pt idx="2">
                  <c:v>2011</c:v>
                </c:pt>
                <c:pt idx="3">
                  <c:v>15te/HHISO</c:v>
                </c:pt>
                <c:pt idx="4">
                  <c:v>2011</c:v>
                </c:pt>
                <c:pt idx="5">
                  <c:v>10te/HHISO</c:v>
                </c:pt>
                <c:pt idx="6">
                  <c:v>2011</c:v>
                </c:pt>
                <c:pt idx="7">
                  <c:v>Whole Boilers</c:v>
                </c:pt>
              </c:strCache>
            </c:strRef>
          </c:cat>
          <c:val>
            <c:numRef>
              <c:f>'WAGR Reference Results'!$B$94:$I$94</c:f>
              <c:numCache>
                <c:formatCode>#,##0</c:formatCode>
                <c:ptCount val="8"/>
                <c:pt idx="0">
                  <c:v>1184137.5</c:v>
                </c:pt>
                <c:pt idx="1">
                  <c:v>1986757.5</c:v>
                </c:pt>
                <c:pt idx="2">
                  <c:v>1623960</c:v>
                </c:pt>
                <c:pt idx="3">
                  <c:v>2724696</c:v>
                </c:pt>
                <c:pt idx="4">
                  <c:v>2537437.5</c:v>
                </c:pt>
                <c:pt idx="5">
                  <c:v>4257337.5</c:v>
                </c:pt>
                <c:pt idx="6">
                  <c:v>1318600</c:v>
                </c:pt>
                <c:pt idx="7">
                  <c:v>2212360</c:v>
                </c:pt>
              </c:numCache>
            </c:numRef>
          </c:val>
        </c:ser>
        <c:ser>
          <c:idx val="4"/>
          <c:order val="4"/>
          <c:tx>
            <c:strRef>
              <c:f>'WAGR Reference Results'!$A$95</c:f>
              <c:strCache>
                <c:ptCount val="1"/>
                <c:pt idx="0">
                  <c:v>Activity Charge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Results'!$B$90:$I$90</c:f>
              <c:strCache>
                <c:ptCount val="8"/>
                <c:pt idx="0">
                  <c:v>2011</c:v>
                </c:pt>
                <c:pt idx="1">
                  <c:v>20te/HHISO</c:v>
                </c:pt>
                <c:pt idx="2">
                  <c:v>2011</c:v>
                </c:pt>
                <c:pt idx="3">
                  <c:v>15te/HHISO</c:v>
                </c:pt>
                <c:pt idx="4">
                  <c:v>2011</c:v>
                </c:pt>
                <c:pt idx="5">
                  <c:v>10te/HHISO</c:v>
                </c:pt>
                <c:pt idx="6">
                  <c:v>2011</c:v>
                </c:pt>
                <c:pt idx="7">
                  <c:v>Whole Boilers</c:v>
                </c:pt>
              </c:strCache>
            </c:strRef>
          </c:cat>
          <c:val>
            <c:numRef>
              <c:f>'WAGR Reference Results'!$B$95:$I$95</c:f>
              <c:numCache>
                <c:formatCode>#,##0</c:formatCode>
                <c:ptCount val="8"/>
                <c:pt idx="0">
                  <c:v>95915.137499999997</c:v>
                </c:pt>
                <c:pt idx="1">
                  <c:v>95364.36</c:v>
                </c:pt>
                <c:pt idx="2">
                  <c:v>131540.76</c:v>
                </c:pt>
                <c:pt idx="3">
                  <c:v>130785.408</c:v>
                </c:pt>
                <c:pt idx="4">
                  <c:v>205532.4375</c:v>
                </c:pt>
                <c:pt idx="5">
                  <c:v>204352.2</c:v>
                </c:pt>
                <c:pt idx="6">
                  <c:v>106806.6</c:v>
                </c:pt>
                <c:pt idx="7">
                  <c:v>106193.28</c:v>
                </c:pt>
              </c:numCache>
            </c:numRef>
          </c:val>
        </c:ser>
        <c:ser>
          <c:idx val="5"/>
          <c:order val="5"/>
          <c:tx>
            <c:strRef>
              <c:f>'WAGR Reference Results'!$A$96</c:f>
              <c:strCache>
                <c:ptCount val="1"/>
                <c:pt idx="0">
                  <c:v>Overweight Supplement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Results'!$B$90:$I$90</c:f>
              <c:strCache>
                <c:ptCount val="8"/>
                <c:pt idx="0">
                  <c:v>2011</c:v>
                </c:pt>
                <c:pt idx="1">
                  <c:v>20te/HHISO</c:v>
                </c:pt>
                <c:pt idx="2">
                  <c:v>2011</c:v>
                </c:pt>
                <c:pt idx="3">
                  <c:v>15te/HHISO</c:v>
                </c:pt>
                <c:pt idx="4">
                  <c:v>2011</c:v>
                </c:pt>
                <c:pt idx="5">
                  <c:v>10te/HHISO</c:v>
                </c:pt>
                <c:pt idx="6">
                  <c:v>2011</c:v>
                </c:pt>
                <c:pt idx="7">
                  <c:v>Whole Boilers</c:v>
                </c:pt>
              </c:strCache>
            </c:strRef>
          </c:cat>
          <c:val>
            <c:numRef>
              <c:f>'WAGR Reference Results'!$B$96:$I$96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100000</c:v>
                </c:pt>
                <c:pt idx="7">
                  <c:v>200000</c:v>
                </c:pt>
              </c:numCache>
            </c:numRef>
          </c:val>
        </c:ser>
        <c:ser>
          <c:idx val="6"/>
          <c:order val="6"/>
          <c:tx>
            <c:strRef>
              <c:f>'WAGR Reference Results'!$A$97</c:f>
              <c:strCache>
                <c:ptCount val="1"/>
                <c:pt idx="0">
                  <c:v>Size Reduction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Results'!$B$90:$I$90</c:f>
              <c:strCache>
                <c:ptCount val="8"/>
                <c:pt idx="0">
                  <c:v>2011</c:v>
                </c:pt>
                <c:pt idx="1">
                  <c:v>20te/HHISO</c:v>
                </c:pt>
                <c:pt idx="2">
                  <c:v>2011</c:v>
                </c:pt>
                <c:pt idx="3">
                  <c:v>15te/HHISO</c:v>
                </c:pt>
                <c:pt idx="4">
                  <c:v>2011</c:v>
                </c:pt>
                <c:pt idx="5">
                  <c:v>10te/HHISO</c:v>
                </c:pt>
                <c:pt idx="6">
                  <c:v>2011</c:v>
                </c:pt>
                <c:pt idx="7">
                  <c:v>Whole Boilers</c:v>
                </c:pt>
              </c:strCache>
            </c:strRef>
          </c:cat>
          <c:val>
            <c:numRef>
              <c:f>'WAGR Reference Results'!$B$97:$I$97</c:f>
              <c:numCache>
                <c:formatCode>#,##0</c:formatCode>
                <c:ptCount val="8"/>
                <c:pt idx="0">
                  <c:v>285000</c:v>
                </c:pt>
                <c:pt idx="1">
                  <c:v>292600</c:v>
                </c:pt>
                <c:pt idx="2">
                  <c:v>285000</c:v>
                </c:pt>
                <c:pt idx="3">
                  <c:v>292600</c:v>
                </c:pt>
                <c:pt idx="4">
                  <c:v>285000</c:v>
                </c:pt>
                <c:pt idx="5">
                  <c:v>292600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7"/>
          <c:order val="7"/>
          <c:tx>
            <c:strRef>
              <c:f>'WAGR Reference Results'!$A$98</c:f>
              <c:strCache>
                <c:ptCount val="1"/>
                <c:pt idx="0">
                  <c:v>Decontamination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Results'!$B$90:$I$90</c:f>
              <c:strCache>
                <c:ptCount val="8"/>
                <c:pt idx="0">
                  <c:v>2011</c:v>
                </c:pt>
                <c:pt idx="1">
                  <c:v>20te/HHISO</c:v>
                </c:pt>
                <c:pt idx="2">
                  <c:v>2011</c:v>
                </c:pt>
                <c:pt idx="3">
                  <c:v>15te/HHISO</c:v>
                </c:pt>
                <c:pt idx="4">
                  <c:v>2011</c:v>
                </c:pt>
                <c:pt idx="5">
                  <c:v>10te/HHISO</c:v>
                </c:pt>
                <c:pt idx="6">
                  <c:v>2011</c:v>
                </c:pt>
                <c:pt idx="7">
                  <c:v>Whole Boilers</c:v>
                </c:pt>
              </c:strCache>
            </c:strRef>
          </c:cat>
          <c:val>
            <c:numRef>
              <c:f>'WAGR Reference Results'!$B$98:$I$98</c:f>
              <c:numCache>
                <c:formatCode>#,##0</c:formatCode>
                <c:ptCount val="8"/>
                <c:pt idx="0">
                  <c:v>427880</c:v>
                </c:pt>
                <c:pt idx="1">
                  <c:v>433200</c:v>
                </c:pt>
                <c:pt idx="2">
                  <c:v>427880</c:v>
                </c:pt>
                <c:pt idx="3">
                  <c:v>433200</c:v>
                </c:pt>
                <c:pt idx="4">
                  <c:v>427880</c:v>
                </c:pt>
                <c:pt idx="5">
                  <c:v>433200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overlap val="100"/>
        <c:axId val="50354816"/>
        <c:axId val="50377088"/>
      </c:barChart>
      <c:catAx>
        <c:axId val="503548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377088"/>
        <c:crosses val="autoZero"/>
        <c:auto val="1"/>
        <c:lblAlgn val="ctr"/>
        <c:lblOffset val="100"/>
        <c:tickLblSkip val="1"/>
        <c:tickMarkSkip val="1"/>
      </c:catAx>
      <c:valAx>
        <c:axId val="503770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Cost (£)</a:t>
                </a:r>
              </a:p>
            </c:rich>
          </c:tx>
          <c:layout>
            <c:manualLayout>
              <c:xMode val="edge"/>
              <c:yMode val="edge"/>
              <c:x val="2.5844891216009164E-2"/>
              <c:y val="0.44628100349244959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35481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934158694428812"/>
          <c:y val="0.79580674567000909"/>
          <c:w val="0.51828925154755201"/>
          <c:h val="0.1969006381039197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5277785178428602"/>
          <c:y val="0.18224278274361302"/>
          <c:w val="0.7301590838521731"/>
          <c:h val="0.55140124009605895"/>
        </c:manualLayout>
      </c:layout>
      <c:barChart>
        <c:barDir val="col"/>
        <c:grouping val="clustered"/>
        <c:ser>
          <c:idx val="1"/>
          <c:order val="0"/>
          <c:tx>
            <c:strRef>
              <c:f>'WAGR Reference Results'!$A$101</c:f>
              <c:strCache>
                <c:ptCount val="1"/>
                <c:pt idx="0">
                  <c:v>Total Cost (£)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'WAGR Reference Results'!$B$100:$D$100</c:f>
              <c:strCache>
                <c:ptCount val="3"/>
                <c:pt idx="0">
                  <c:v>21te</c:v>
                </c:pt>
                <c:pt idx="1">
                  <c:v>15te</c:v>
                </c:pt>
                <c:pt idx="2">
                  <c:v>10te</c:v>
                </c:pt>
              </c:strCache>
            </c:strRef>
          </c:cat>
          <c:val>
            <c:numRef>
              <c:f>'WAGR Reference Results'!$B$101:$D$101</c:f>
              <c:numCache>
                <c:formatCode>#,##0</c:formatCode>
                <c:ptCount val="3"/>
                <c:pt idx="0">
                  <c:v>3089928.1909984318</c:v>
                </c:pt>
                <c:pt idx="1">
                  <c:v>3968032.9476549919</c:v>
                </c:pt>
                <c:pt idx="2">
                  <c:v>5791788.9807109255</c:v>
                </c:pt>
              </c:numCache>
            </c:numRef>
          </c:val>
        </c:ser>
        <c:axId val="50477696"/>
        <c:axId val="50508928"/>
      </c:barChart>
      <c:lineChart>
        <c:grouping val="standard"/>
        <c:ser>
          <c:idx val="0"/>
          <c:order val="1"/>
          <c:tx>
            <c:strRef>
              <c:f>'WAGR Reference Results'!$A$102</c:f>
              <c:strCache>
                <c:ptCount val="1"/>
                <c:pt idx="0">
                  <c:v>Specific Cost (£/Tonne)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'WAGR Reference Results'!$B$100:$D$100</c:f>
              <c:strCache>
                <c:ptCount val="3"/>
                <c:pt idx="0">
                  <c:v>21te</c:v>
                </c:pt>
                <c:pt idx="1">
                  <c:v>15te</c:v>
                </c:pt>
                <c:pt idx="2">
                  <c:v>10te</c:v>
                </c:pt>
              </c:strCache>
            </c:strRef>
          </c:cat>
          <c:val>
            <c:numRef>
              <c:f>'WAGR Reference Results'!$B$102:$D$102</c:f>
              <c:numCache>
                <c:formatCode>#,##0</c:formatCode>
                <c:ptCount val="3"/>
                <c:pt idx="0">
                  <c:v>4065.6949881558312</c:v>
                </c:pt>
                <c:pt idx="1">
                  <c:v>5221.0959837565679</c:v>
                </c:pt>
                <c:pt idx="2">
                  <c:v>7620.7749746196387</c:v>
                </c:pt>
              </c:numCache>
            </c:numRef>
          </c:val>
        </c:ser>
        <c:marker val="1"/>
        <c:axId val="50510848"/>
        <c:axId val="50553600"/>
      </c:lineChart>
      <c:catAx>
        <c:axId val="504776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HHISOs Waste Loading</a:t>
                </a:r>
              </a:p>
            </c:rich>
          </c:tx>
          <c:layout>
            <c:manualLayout>
              <c:xMode val="edge"/>
              <c:yMode val="edge"/>
              <c:x val="0.40361424052762634"/>
              <c:y val="0.8733048368953881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508928"/>
        <c:crosses val="autoZero"/>
        <c:lblAlgn val="ctr"/>
        <c:lblOffset val="100"/>
        <c:tickLblSkip val="1"/>
        <c:tickMarkSkip val="1"/>
      </c:catAx>
      <c:valAx>
        <c:axId val="505089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Total Cost (£)</a:t>
                </a:r>
              </a:p>
            </c:rich>
          </c:tx>
          <c:layout>
            <c:manualLayout>
              <c:xMode val="edge"/>
              <c:yMode val="edge"/>
              <c:x val="2.6104403616214637E-2"/>
              <c:y val="0.31674210723659546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477696"/>
        <c:crosses val="autoZero"/>
        <c:crossBetween val="between"/>
      </c:valAx>
      <c:catAx>
        <c:axId val="50510848"/>
        <c:scaling>
          <c:orientation val="minMax"/>
        </c:scaling>
        <c:delete val="1"/>
        <c:axPos val="b"/>
        <c:tickLblPos val="nextTo"/>
        <c:crossAx val="50553600"/>
        <c:crosses val="autoZero"/>
        <c:lblAlgn val="ctr"/>
        <c:lblOffset val="100"/>
      </c:catAx>
      <c:valAx>
        <c:axId val="50553600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Specific Cost (£/te)</a:t>
                </a:r>
              </a:p>
            </c:rich>
          </c:tx>
          <c:layout>
            <c:manualLayout>
              <c:xMode val="edge"/>
              <c:yMode val="edge"/>
              <c:x val="0.94377495120802202"/>
              <c:y val="0.25791886014248216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510848"/>
        <c:crosses val="max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198064883323849"/>
          <c:y val="3.151862464183381E-2"/>
          <c:w val="0.30051223676721683"/>
          <c:h val="8.022922636103152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>
      <c:oddHeader>&amp;A</c:oddHeader>
      <c:oddFooter>Page &amp;P</c:oddFooter>
    </c:headerFooter>
    <c:pageMargins b="1" l="0.75000000000000011" r="0.75000000000000011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5482714195256"/>
          <c:y val="0.14417161718643201"/>
          <c:w val="0.8552129598230499"/>
          <c:h val="0.70552067984849809"/>
        </c:manualLayout>
      </c:layout>
      <c:barChart>
        <c:barDir val="col"/>
        <c:grouping val="stacked"/>
        <c:ser>
          <c:idx val="0"/>
          <c:order val="0"/>
          <c:tx>
            <c:strRef>
              <c:f>'WAGR Reference Results'!$O$3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AC090"/>
            </a:solidFill>
            <a:ln w="25400">
              <a:noFill/>
            </a:ln>
          </c:spPr>
          <c:cat>
            <c:strRef>
              <c:f>'WAGR Reference Results'!$P$2:$S$2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Results'!$P$3:$S$3</c:f>
              <c:numCache>
                <c:formatCode>0.00</c:formatCode>
                <c:ptCount val="4"/>
                <c:pt idx="0">
                  <c:v>0</c:v>
                </c:pt>
                <c:pt idx="1">
                  <c:v>19.355875030118064</c:v>
                </c:pt>
                <c:pt idx="2">
                  <c:v>0.80314834149867487</c:v>
                </c:pt>
                <c:pt idx="3">
                  <c:v>0.80314834149867487</c:v>
                </c:pt>
              </c:numCache>
            </c:numRef>
          </c:val>
        </c:ser>
        <c:ser>
          <c:idx val="1"/>
          <c:order val="1"/>
          <c:tx>
            <c:strRef>
              <c:f>'WAGR Reference Results'!$O$4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cat>
            <c:strRef>
              <c:f>'WAGR Reference Results'!$P$2:$S$2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Results'!$P$4:$S$4</c:f>
              <c:numCache>
                <c:formatCode>0.00</c:formatCode>
                <c:ptCount val="4"/>
                <c:pt idx="0">
                  <c:v>0</c:v>
                </c:pt>
                <c:pt idx="1">
                  <c:v>17.74957834712071</c:v>
                </c:pt>
                <c:pt idx="2">
                  <c:v>0.74130591920327682</c:v>
                </c:pt>
                <c:pt idx="3">
                  <c:v>0.74130591920327682</c:v>
                </c:pt>
              </c:numCache>
            </c:numRef>
          </c:val>
        </c:ser>
        <c:ser>
          <c:idx val="2"/>
          <c:order val="2"/>
          <c:tx>
            <c:strRef>
              <c:f>'WAGR Reference Results'!$O$5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25400">
              <a:noFill/>
            </a:ln>
          </c:spPr>
          <c:cat>
            <c:strRef>
              <c:f>'WAGR Reference Results'!$P$2:$S$2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Results'!$P$5:$S$5</c:f>
              <c:numCache>
                <c:formatCode>0.00</c:formatCode>
                <c:ptCount val="4"/>
                <c:pt idx="0">
                  <c:v>0.35338527025941691</c:v>
                </c:pt>
                <c:pt idx="1">
                  <c:v>7.003453537868444E-2</c:v>
                </c:pt>
                <c:pt idx="2">
                  <c:v>1.2071319572725083</c:v>
                </c:pt>
                <c:pt idx="3">
                  <c:v>4.6743233475222876</c:v>
                </c:pt>
              </c:numCache>
            </c:numRef>
          </c:val>
        </c:ser>
        <c:ser>
          <c:idx val="3"/>
          <c:order val="3"/>
          <c:tx>
            <c:strRef>
              <c:f>'WAGR Reference Results'!$O$6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cat>
            <c:strRef>
              <c:f>'WAGR Reference Results'!$P$2:$S$2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Results'!$P$6:$S$6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3.2688137498996066</c:v>
                </c:pt>
                <c:pt idx="3">
                  <c:v>2.4857441169383989</c:v>
                </c:pt>
              </c:numCache>
            </c:numRef>
          </c:val>
        </c:ser>
        <c:ser>
          <c:idx val="4"/>
          <c:order val="4"/>
          <c:tx>
            <c:strRef>
              <c:f>'WAGR Reference Results'!$O$7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7F7F7F"/>
            </a:solidFill>
            <a:ln w="25400">
              <a:noFill/>
            </a:ln>
          </c:spPr>
          <c:cat>
            <c:strRef>
              <c:f>'WAGR Reference Results'!$P$2:$S$2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Results'!$P$7:$S$7</c:f>
              <c:numCache>
                <c:formatCode>0.00</c:formatCode>
                <c:ptCount val="4"/>
                <c:pt idx="0">
                  <c:v>0</c:v>
                </c:pt>
                <c:pt idx="1">
                  <c:v>2.5973817364067142</c:v>
                </c:pt>
                <c:pt idx="2">
                  <c:v>2.5973817364067142</c:v>
                </c:pt>
                <c:pt idx="3">
                  <c:v>2.5973817364067142</c:v>
                </c:pt>
              </c:numCache>
            </c:numRef>
          </c:val>
        </c:ser>
        <c:ser>
          <c:idx val="5"/>
          <c:order val="5"/>
          <c:tx>
            <c:strRef>
              <c:f>'WAGR Reference Results'!$O$8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64CC0D"/>
            </a:solidFill>
            <a:ln w="25400">
              <a:noFill/>
            </a:ln>
          </c:spPr>
          <c:cat>
            <c:strRef>
              <c:f>'WAGR Reference Results'!$P$2:$S$2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Results'!$P$8:$S$8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3.6543249538189699</c:v>
                </c:pt>
                <c:pt idx="3">
                  <c:v>3.6543249538189699</c:v>
                </c:pt>
              </c:numCache>
            </c:numRef>
          </c:val>
        </c:ser>
        <c:ser>
          <c:idx val="6"/>
          <c:order val="6"/>
          <c:tx>
            <c:strRef>
              <c:f>'WAGR Reference Results'!$O$9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00090"/>
            </a:solidFill>
            <a:ln w="25400">
              <a:noFill/>
            </a:ln>
          </c:spPr>
          <c:cat>
            <c:strRef>
              <c:f>'WAGR Reference Results'!$P$2:$S$2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Results'!$P$9:$S$9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3.3105774636575371</c:v>
                </c:pt>
                <c:pt idx="3">
                  <c:v>3.0174283190105213</c:v>
                </c:pt>
              </c:numCache>
            </c:numRef>
          </c:val>
        </c:ser>
        <c:ser>
          <c:idx val="7"/>
          <c:order val="7"/>
          <c:tx>
            <c:strRef>
              <c:f>'WAGR Reference Results'!$O$10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cat>
            <c:strRef>
              <c:f>'WAGR Reference Results'!$P$2:$S$2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Results'!$P$10:$S$10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-59.111717934302469</c:v>
                </c:pt>
                <c:pt idx="3">
                  <c:v>-59.111717934302469</c:v>
                </c:pt>
              </c:numCache>
            </c:numRef>
          </c:val>
        </c:ser>
        <c:ser>
          <c:idx val="8"/>
          <c:order val="8"/>
          <c:tx>
            <c:strRef>
              <c:f>'WAGR Reference Results'!$O$11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D98586"/>
            </a:solidFill>
            <a:ln w="25400">
              <a:noFill/>
            </a:ln>
          </c:spPr>
          <c:cat>
            <c:strRef>
              <c:f>'WAGR Reference Results'!$P$2:$S$2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Results'!$P$11:$S$11</c:f>
              <c:numCache>
                <c:formatCode>0.00</c:formatCode>
                <c:ptCount val="4"/>
                <c:pt idx="0">
                  <c:v>81.117982491366163</c:v>
                </c:pt>
                <c:pt idx="1">
                  <c:v>100.79511685808369</c:v>
                </c:pt>
                <c:pt idx="2">
                  <c:v>4.2181350895510406</c:v>
                </c:pt>
                <c:pt idx="3">
                  <c:v>4.2181350895510406</c:v>
                </c:pt>
              </c:numCache>
            </c:numRef>
          </c:val>
        </c:ser>
        <c:ser>
          <c:idx val="9"/>
          <c:order val="9"/>
          <c:tx>
            <c:strRef>
              <c:f>'WAGR Reference Results'!$O$12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cat>
            <c:strRef>
              <c:f>'WAGR Reference Results'!$P$2:$S$2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Results'!$P$12:$S$12</c:f>
              <c:numCache>
                <c:formatCode>0.00</c:formatCode>
                <c:ptCount val="4"/>
                <c:pt idx="0">
                  <c:v>2.2247209059513291</c:v>
                </c:pt>
                <c:pt idx="1">
                  <c:v>3.4246245281503498</c:v>
                </c:pt>
                <c:pt idx="2">
                  <c:v>0.257569673118625</c:v>
                </c:pt>
                <c:pt idx="3">
                  <c:v>0.257569673118625</c:v>
                </c:pt>
              </c:numCache>
            </c:numRef>
          </c:val>
        </c:ser>
        <c:ser>
          <c:idx val="10"/>
          <c:order val="10"/>
          <c:tx>
            <c:strRef>
              <c:f>'WAGR Reference Results'!$O$13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cat>
            <c:strRef>
              <c:f>'WAGR Reference Results'!$P$2:$S$2</c:f>
              <c:strCache>
                <c:ptCount val="4"/>
                <c:pt idx="0">
                  <c:v>Direct Disposal</c:v>
                </c:pt>
                <c:pt idx="1">
                  <c:v>Packaged Disposal</c:v>
                </c:pt>
                <c:pt idx="2">
                  <c:v>Bulk Recycling</c:v>
                </c:pt>
                <c:pt idx="3">
                  <c:v>Containerised Recycling</c:v>
                </c:pt>
              </c:strCache>
            </c:strRef>
          </c:cat>
          <c:val>
            <c:numRef>
              <c:f>'WAGR Reference Results'!$P$13:$S$13</c:f>
              <c:numCache>
                <c:formatCode>0.00</c:formatCode>
                <c:ptCount val="4"/>
                <c:pt idx="0">
                  <c:v>16.303911332423098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overlap val="100"/>
        <c:axId val="49451776"/>
        <c:axId val="49453696"/>
      </c:barChart>
      <c:catAx>
        <c:axId val="494517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Disposition Option</a:t>
                </a:r>
              </a:p>
            </c:rich>
          </c:tx>
          <c:layout>
            <c:manualLayout>
              <c:xMode val="edge"/>
              <c:yMode val="edge"/>
              <c:x val="0.47718649382025219"/>
              <c:y val="0.89369948051099424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453696"/>
        <c:crosses val="autoZero"/>
        <c:auto val="1"/>
        <c:lblAlgn val="ctr"/>
        <c:lblOffset val="100"/>
        <c:tickLblSkip val="1"/>
        <c:tickMarkSkip val="1"/>
      </c:catAx>
      <c:valAx>
        <c:axId val="494536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Total Direct Disposal Impact</a:t>
                </a:r>
              </a:p>
            </c:rich>
          </c:tx>
          <c:layout>
            <c:manualLayout>
              <c:xMode val="edge"/>
              <c:yMode val="edge"/>
              <c:x val="2.471472791789351E-2"/>
              <c:y val="0.15748009714553315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45177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605542350568458"/>
          <c:y val="1.6547957159536688E-2"/>
          <c:w val="0.71546767402640521"/>
          <c:h val="0.12410967869652517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n-GB"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4919369525904"/>
          <c:y val="0.21991678966546707"/>
          <c:w val="0.8306459790097922"/>
          <c:h val="0.5518666608586239"/>
        </c:manualLayout>
      </c:layout>
      <c:barChart>
        <c:barDir val="col"/>
        <c:grouping val="stacked"/>
        <c:ser>
          <c:idx val="0"/>
          <c:order val="0"/>
          <c:tx>
            <c:strRef>
              <c:f>'WAGR Reference Results'!$A$91</c:f>
              <c:strCache>
                <c:ptCount val="1"/>
                <c:pt idx="0">
                  <c:v>Package cost</c:v>
                </c:pt>
              </c:strCache>
            </c:strRef>
          </c:tx>
          <c:spPr>
            <a:solidFill>
              <a:srgbClr val="7CC861"/>
            </a:solidFill>
            <a:ln w="25400">
              <a:noFill/>
            </a:ln>
          </c:spPr>
          <c:cat>
            <c:strRef>
              <c:f>('WAGR Reference Results'!$C$90,'WAGR Reference Results'!$E$90,'WAGR Reference Results'!$G$90,'WAGR Reference Results'!$I$90)</c:f>
              <c:strCache>
                <c:ptCount val="4"/>
                <c:pt idx="0">
                  <c:v>20te/HHISO</c:v>
                </c:pt>
                <c:pt idx="1">
                  <c:v>15te/HHISO</c:v>
                </c:pt>
                <c:pt idx="2">
                  <c:v>10te/HHISO</c:v>
                </c:pt>
                <c:pt idx="3">
                  <c:v>Whole Boilers</c:v>
                </c:pt>
              </c:strCache>
            </c:strRef>
          </c:cat>
          <c:val>
            <c:numRef>
              <c:f>('WAGR Reference Results'!$C$91,'WAGR Reference Results'!$E$91,'WAGR Reference Results'!$G$91,'WAGR Reference Results'!$I$91)</c:f>
              <c:numCache>
                <c:formatCode>#,##0</c:formatCode>
                <c:ptCount val="4"/>
                <c:pt idx="0">
                  <c:v>280000</c:v>
                </c:pt>
                <c:pt idx="1">
                  <c:v>384000</c:v>
                </c:pt>
                <c:pt idx="2">
                  <c:v>600000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Reference Results'!$A$92</c:f>
              <c:strCache>
                <c:ptCount val="1"/>
                <c:pt idx="0">
                  <c:v>Empty Package Transport Costs</c:v>
                </c:pt>
              </c:strCache>
            </c:strRef>
          </c:tx>
          <c:spPr>
            <a:solidFill>
              <a:srgbClr val="FFB143"/>
            </a:solidFill>
            <a:ln w="25400">
              <a:noFill/>
            </a:ln>
          </c:spPr>
          <c:cat>
            <c:strRef>
              <c:f>('WAGR Reference Results'!$C$90,'WAGR Reference Results'!$E$90,'WAGR Reference Results'!$G$90,'WAGR Reference Results'!$I$90)</c:f>
              <c:strCache>
                <c:ptCount val="4"/>
                <c:pt idx="0">
                  <c:v>20te/HHISO</c:v>
                </c:pt>
                <c:pt idx="1">
                  <c:v>15te/HHISO</c:v>
                </c:pt>
                <c:pt idx="2">
                  <c:v>10te/HHISO</c:v>
                </c:pt>
                <c:pt idx="3">
                  <c:v>Whole Boilers</c:v>
                </c:pt>
              </c:strCache>
            </c:strRef>
          </c:cat>
          <c:val>
            <c:numRef>
              <c:f>('WAGR Reference Results'!$C$92,'WAGR Reference Results'!$E$92,'WAGR Reference Results'!$G$92,'WAGR Reference Results'!$I$92)</c:f>
              <c:numCache>
                <c:formatCode>#,##0</c:formatCode>
                <c:ptCount val="4"/>
                <c:pt idx="0">
                  <c:v>1003.1654992158913</c:v>
                </c:pt>
                <c:pt idx="1">
                  <c:v>1375.7698274960794</c:v>
                </c:pt>
                <c:pt idx="2">
                  <c:v>2149.640355462624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'WAGR Reference Results'!$A$93</c:f>
              <c:strCache>
                <c:ptCount val="1"/>
                <c:pt idx="0">
                  <c:v>Full Package Transport Cost</c:v>
                </c:pt>
              </c:strCache>
            </c:strRef>
          </c:tx>
          <c:spPr>
            <a:solidFill>
              <a:srgbClr val="EF383C"/>
            </a:solidFill>
            <a:ln w="25400">
              <a:noFill/>
            </a:ln>
          </c:spPr>
          <c:cat>
            <c:strRef>
              <c:f>('WAGR Reference Results'!$C$90,'WAGR Reference Results'!$E$90,'WAGR Reference Results'!$G$90,'WAGR Reference Results'!$I$90)</c:f>
              <c:strCache>
                <c:ptCount val="4"/>
                <c:pt idx="0">
                  <c:v>20te/HHISO</c:v>
                </c:pt>
                <c:pt idx="1">
                  <c:v>15te/HHISO</c:v>
                </c:pt>
                <c:pt idx="2">
                  <c:v>10te/HHISO</c:v>
                </c:pt>
                <c:pt idx="3">
                  <c:v>Whole Boilers</c:v>
                </c:pt>
              </c:strCache>
            </c:strRef>
          </c:cat>
          <c:val>
            <c:numRef>
              <c:f>('WAGR Reference Results'!$C$93,'WAGR Reference Results'!$E$93,'WAGR Reference Results'!$G$93,'WAGR Reference Results'!$I$93)</c:f>
              <c:numCache>
                <c:formatCode>#,##0</c:formatCode>
                <c:ptCount val="4"/>
                <c:pt idx="0">
                  <c:v>1003.1654992158913</c:v>
                </c:pt>
                <c:pt idx="1">
                  <c:v>1375.7698274960794</c:v>
                </c:pt>
                <c:pt idx="2">
                  <c:v>2149.640355462624</c:v>
                </c:pt>
                <c:pt idx="3">
                  <c:v>24000</c:v>
                </c:pt>
              </c:numCache>
            </c:numRef>
          </c:val>
        </c:ser>
        <c:ser>
          <c:idx val="3"/>
          <c:order val="3"/>
          <c:tx>
            <c:strRef>
              <c:f>'WAGR Reference Results'!$A$94</c:f>
              <c:strCache>
                <c:ptCount val="1"/>
                <c:pt idx="0">
                  <c:v>Disposal Volume Cost</c:v>
                </c:pt>
              </c:strCache>
            </c:strRef>
          </c:tx>
          <c:spPr>
            <a:solidFill>
              <a:srgbClr val="D98586"/>
            </a:solidFill>
            <a:ln w="25400">
              <a:noFill/>
            </a:ln>
          </c:spPr>
          <c:cat>
            <c:strRef>
              <c:f>('WAGR Reference Results'!$C$90,'WAGR Reference Results'!$E$90,'WAGR Reference Results'!$G$90,'WAGR Reference Results'!$I$90)</c:f>
              <c:strCache>
                <c:ptCount val="4"/>
                <c:pt idx="0">
                  <c:v>20te/HHISO</c:v>
                </c:pt>
                <c:pt idx="1">
                  <c:v>15te/HHISO</c:v>
                </c:pt>
                <c:pt idx="2">
                  <c:v>10te/HHISO</c:v>
                </c:pt>
                <c:pt idx="3">
                  <c:v>Whole Boilers</c:v>
                </c:pt>
              </c:strCache>
            </c:strRef>
          </c:cat>
          <c:val>
            <c:numRef>
              <c:f>('WAGR Reference Results'!$C$94,'WAGR Reference Results'!$E$94,'WAGR Reference Results'!$G$94,'WAGR Reference Results'!$I$94)</c:f>
              <c:numCache>
                <c:formatCode>#,##0</c:formatCode>
                <c:ptCount val="4"/>
                <c:pt idx="0">
                  <c:v>1986757.5</c:v>
                </c:pt>
                <c:pt idx="1">
                  <c:v>2724696</c:v>
                </c:pt>
                <c:pt idx="2">
                  <c:v>4257337.5</c:v>
                </c:pt>
                <c:pt idx="3">
                  <c:v>2212360</c:v>
                </c:pt>
              </c:numCache>
            </c:numRef>
          </c:val>
        </c:ser>
        <c:ser>
          <c:idx val="4"/>
          <c:order val="4"/>
          <c:tx>
            <c:strRef>
              <c:f>'WAGR Reference Results'!$A$95</c:f>
              <c:strCache>
                <c:ptCount val="1"/>
                <c:pt idx="0">
                  <c:v>Activity Charge</c:v>
                </c:pt>
              </c:strCache>
            </c:strRef>
          </c:tx>
          <c:spPr>
            <a:solidFill>
              <a:srgbClr val="AEB2B1"/>
            </a:solidFill>
            <a:ln w="25400">
              <a:noFill/>
            </a:ln>
          </c:spPr>
          <c:cat>
            <c:strRef>
              <c:f>('WAGR Reference Results'!$C$90,'WAGR Reference Results'!$E$90,'WAGR Reference Results'!$G$90,'WAGR Reference Results'!$I$90)</c:f>
              <c:strCache>
                <c:ptCount val="4"/>
                <c:pt idx="0">
                  <c:v>20te/HHISO</c:v>
                </c:pt>
                <c:pt idx="1">
                  <c:v>15te/HHISO</c:v>
                </c:pt>
                <c:pt idx="2">
                  <c:v>10te/HHISO</c:v>
                </c:pt>
                <c:pt idx="3">
                  <c:v>Whole Boilers</c:v>
                </c:pt>
              </c:strCache>
            </c:strRef>
          </c:cat>
          <c:val>
            <c:numRef>
              <c:f>('WAGR Reference Results'!$C$95,'WAGR Reference Results'!$E$95,'WAGR Reference Results'!$G$95,'WAGR Reference Results'!$I$95)</c:f>
              <c:numCache>
                <c:formatCode>#,##0</c:formatCode>
                <c:ptCount val="4"/>
                <c:pt idx="0">
                  <c:v>95364.36</c:v>
                </c:pt>
                <c:pt idx="1">
                  <c:v>130785.408</c:v>
                </c:pt>
                <c:pt idx="2">
                  <c:v>204352.2</c:v>
                </c:pt>
                <c:pt idx="3">
                  <c:v>106193.28</c:v>
                </c:pt>
              </c:numCache>
            </c:numRef>
          </c:val>
        </c:ser>
        <c:ser>
          <c:idx val="5"/>
          <c:order val="5"/>
          <c:tx>
            <c:strRef>
              <c:f>'WAGR Reference Results'!$A$96</c:f>
              <c:strCache>
                <c:ptCount val="1"/>
                <c:pt idx="0">
                  <c:v>Overweight Supplement</c:v>
                </c:pt>
              </c:strCache>
            </c:strRef>
          </c:tx>
          <c:spPr>
            <a:solidFill>
              <a:srgbClr val="002060"/>
            </a:solidFill>
            <a:ln w="25400">
              <a:noFill/>
            </a:ln>
          </c:spPr>
          <c:cat>
            <c:strRef>
              <c:f>('WAGR Reference Results'!$C$90,'WAGR Reference Results'!$E$90,'WAGR Reference Results'!$G$90,'WAGR Reference Results'!$I$90)</c:f>
              <c:strCache>
                <c:ptCount val="4"/>
                <c:pt idx="0">
                  <c:v>20te/HHISO</c:v>
                </c:pt>
                <c:pt idx="1">
                  <c:v>15te/HHISO</c:v>
                </c:pt>
                <c:pt idx="2">
                  <c:v>10te/HHISO</c:v>
                </c:pt>
                <c:pt idx="3">
                  <c:v>Whole Boilers</c:v>
                </c:pt>
              </c:strCache>
            </c:strRef>
          </c:cat>
          <c:val>
            <c:numRef>
              <c:f>('WAGR Reference Results'!$C$96,'WAGR Reference Results'!$E$96,'WAGR Reference Results'!$G$96,'WAGR Reference Results'!$I$96)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200000</c:v>
                </c:pt>
              </c:numCache>
            </c:numRef>
          </c:val>
        </c:ser>
        <c:ser>
          <c:idx val="6"/>
          <c:order val="6"/>
          <c:tx>
            <c:strRef>
              <c:f>'WAGR Reference Results'!$A$97</c:f>
              <c:strCache>
                <c:ptCount val="1"/>
                <c:pt idx="0">
                  <c:v>Size Reduction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cat>
            <c:strRef>
              <c:f>('WAGR Reference Results'!$C$90,'WAGR Reference Results'!$E$90,'WAGR Reference Results'!$G$90,'WAGR Reference Results'!$I$90)</c:f>
              <c:strCache>
                <c:ptCount val="4"/>
                <c:pt idx="0">
                  <c:v>20te/HHISO</c:v>
                </c:pt>
                <c:pt idx="1">
                  <c:v>15te/HHISO</c:v>
                </c:pt>
                <c:pt idx="2">
                  <c:v>10te/HHISO</c:v>
                </c:pt>
                <c:pt idx="3">
                  <c:v>Whole Boilers</c:v>
                </c:pt>
              </c:strCache>
            </c:strRef>
          </c:cat>
          <c:val>
            <c:numRef>
              <c:f>('WAGR Reference Results'!$C$97,'WAGR Reference Results'!$E$97,'WAGR Reference Results'!$G$97,'WAGR Reference Results'!$I$97)</c:f>
              <c:numCache>
                <c:formatCode>#,##0</c:formatCode>
                <c:ptCount val="4"/>
                <c:pt idx="0">
                  <c:v>292600</c:v>
                </c:pt>
                <c:pt idx="1">
                  <c:v>292600</c:v>
                </c:pt>
                <c:pt idx="2">
                  <c:v>292600</c:v>
                </c:pt>
                <c:pt idx="3">
                  <c:v>0</c:v>
                </c:pt>
              </c:numCache>
            </c:numRef>
          </c:val>
        </c:ser>
        <c:ser>
          <c:idx val="7"/>
          <c:order val="7"/>
          <c:tx>
            <c:strRef>
              <c:f>'WAGR Reference Results'!$A$98</c:f>
              <c:strCache>
                <c:ptCount val="1"/>
                <c:pt idx="0">
                  <c:v>Decontamination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cat>
            <c:strRef>
              <c:f>('WAGR Reference Results'!$C$90,'WAGR Reference Results'!$E$90,'WAGR Reference Results'!$G$90,'WAGR Reference Results'!$I$90)</c:f>
              <c:strCache>
                <c:ptCount val="4"/>
                <c:pt idx="0">
                  <c:v>20te/HHISO</c:v>
                </c:pt>
                <c:pt idx="1">
                  <c:v>15te/HHISO</c:v>
                </c:pt>
                <c:pt idx="2">
                  <c:v>10te/HHISO</c:v>
                </c:pt>
                <c:pt idx="3">
                  <c:v>Whole Boilers</c:v>
                </c:pt>
              </c:strCache>
            </c:strRef>
          </c:cat>
          <c:val>
            <c:numRef>
              <c:f>('WAGR Reference Results'!$C$98,'WAGR Reference Results'!$E$98,'WAGR Reference Results'!$G$98,'WAGR Reference Results'!$I$98)</c:f>
              <c:numCache>
                <c:formatCode>#,##0</c:formatCode>
                <c:ptCount val="4"/>
                <c:pt idx="0">
                  <c:v>433200</c:v>
                </c:pt>
                <c:pt idx="1">
                  <c:v>433200</c:v>
                </c:pt>
                <c:pt idx="2">
                  <c:v>433200</c:v>
                </c:pt>
                <c:pt idx="3">
                  <c:v>0</c:v>
                </c:pt>
              </c:numCache>
            </c:numRef>
          </c:val>
        </c:ser>
        <c:overlap val="100"/>
        <c:axId val="49718784"/>
        <c:axId val="49720704"/>
      </c:barChart>
      <c:catAx>
        <c:axId val="497187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/>
                  <a:t>Waste Loading</a:t>
                </a:r>
              </a:p>
            </c:rich>
          </c:tx>
          <c:layout>
            <c:manualLayout>
              <c:xMode val="edge"/>
              <c:yMode val="edge"/>
              <c:x val="0.49999926582603749"/>
              <c:y val="0.8916645204872178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720704"/>
        <c:crosses val="autoZero"/>
        <c:auto val="1"/>
        <c:lblAlgn val="ctr"/>
        <c:lblOffset val="100"/>
        <c:tickLblSkip val="1"/>
        <c:tickMarkSkip val="1"/>
      </c:catAx>
      <c:valAx>
        <c:axId val="497207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/>
                  <a:t> Costs (£)</a:t>
                </a:r>
              </a:p>
            </c:rich>
          </c:tx>
          <c:layout>
            <c:manualLayout>
              <c:xMode val="edge"/>
              <c:yMode val="edge"/>
              <c:x val="5.2379641356019302E-3"/>
              <c:y val="0.42028442155186363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71878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996505532906232"/>
          <c:y val="1.6162849123065471E-2"/>
          <c:w val="0.71811298776936516"/>
          <c:h val="0.18317895672807533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n-GB"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7928481936574024E-2"/>
          <c:y val="0.13257569627440699"/>
          <c:w val="0.88323957746640802"/>
          <c:h val="0.68181786655409116"/>
        </c:manualLayout>
      </c:layout>
      <c:barChart>
        <c:barDir val="col"/>
        <c:grouping val="clustered"/>
        <c:ser>
          <c:idx val="0"/>
          <c:order val="0"/>
          <c:tx>
            <c:strRef>
              <c:f>'WAGR Reference Results'!$P$34</c:f>
              <c:strCache>
                <c:ptCount val="1"/>
                <c:pt idx="0">
                  <c:v>Direct Disposal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'WAGR Reference Results'!$O$35:$O$45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Reference Results'!$P$35:$P$45</c:f>
              <c:numCache>
                <c:formatCode>0.00</c:formatCode>
                <c:ptCount val="11"/>
                <c:pt idx="0">
                  <c:v>6.6370967741935489</c:v>
                </c:pt>
                <c:pt idx="1">
                  <c:v>4.1209677419354836E-2</c:v>
                </c:pt>
                <c:pt idx="2">
                  <c:v>39.516129032258064</c:v>
                </c:pt>
                <c:pt idx="3">
                  <c:v>15.483870967741936</c:v>
                </c:pt>
                <c:pt idx="4">
                  <c:v>0.21451612903225806</c:v>
                </c:pt>
                <c:pt idx="5">
                  <c:v>3.4999999999999996E-3</c:v>
                </c:pt>
                <c:pt idx="6">
                  <c:v>4.209677419354839</c:v>
                </c:pt>
                <c:pt idx="7">
                  <c:v>1.5564516129032258</c:v>
                </c:pt>
                <c:pt idx="8">
                  <c:v>2.209677419354839</c:v>
                </c:pt>
                <c:pt idx="9">
                  <c:v>6.5161290322580641</c:v>
                </c:pt>
                <c:pt idx="10">
                  <c:v>23.70967741935484</c:v>
                </c:pt>
              </c:numCache>
            </c:numRef>
          </c:val>
        </c:ser>
        <c:ser>
          <c:idx val="1"/>
          <c:order val="1"/>
          <c:tx>
            <c:strRef>
              <c:f>'WAGR Reference Results'!$Q$34</c:f>
              <c:strCache>
                <c:ptCount val="1"/>
                <c:pt idx="0">
                  <c:v>Packaged 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Results'!$O$35:$O$45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Reference Results'!$Q$35:$Q$45</c:f>
              <c:numCache>
                <c:formatCode>0.00</c:formatCode>
                <c:ptCount val="11"/>
                <c:pt idx="0">
                  <c:v>9.435483870967742</c:v>
                </c:pt>
                <c:pt idx="1">
                  <c:v>5.4758064516129037E-2</c:v>
                </c:pt>
                <c:pt idx="2">
                  <c:v>63.387096774193552</c:v>
                </c:pt>
                <c:pt idx="3">
                  <c:v>17.177419354838712</c:v>
                </c:pt>
                <c:pt idx="4">
                  <c:v>0.28548387096774197</c:v>
                </c:pt>
                <c:pt idx="5">
                  <c:v>4.5000000000000005E-3</c:v>
                </c:pt>
                <c:pt idx="6">
                  <c:v>6.524193548387097</c:v>
                </c:pt>
                <c:pt idx="7">
                  <c:v>1.9193548387096773</c:v>
                </c:pt>
                <c:pt idx="8">
                  <c:v>3.129032258064516</c:v>
                </c:pt>
                <c:pt idx="9">
                  <c:v>10.241935483870968</c:v>
                </c:pt>
                <c:pt idx="10">
                  <c:v>32.741935483870968</c:v>
                </c:pt>
              </c:numCache>
            </c:numRef>
          </c:val>
        </c:ser>
        <c:ser>
          <c:idx val="2"/>
          <c:order val="2"/>
          <c:tx>
            <c:strRef>
              <c:f>'WAGR Reference Results'!$R$34</c:f>
              <c:strCache>
                <c:ptCount val="1"/>
                <c:pt idx="0">
                  <c:v>Bulk Recycling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Results'!$O$35:$O$45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Reference Results'!$R$35:$R$45</c:f>
              <c:numCache>
                <c:formatCode>0.00</c:formatCode>
                <c:ptCount val="11"/>
                <c:pt idx="0">
                  <c:v>7.0241935483870961</c:v>
                </c:pt>
                <c:pt idx="1">
                  <c:v>-1.9919354838709676E-4</c:v>
                </c:pt>
                <c:pt idx="2">
                  <c:v>-42.903225806451609</c:v>
                </c:pt>
                <c:pt idx="3">
                  <c:v>-4.9193548387096779</c:v>
                </c:pt>
                <c:pt idx="4">
                  <c:v>0.11370967741935484</c:v>
                </c:pt>
                <c:pt idx="5">
                  <c:v>7.0967741935483875E-4</c:v>
                </c:pt>
                <c:pt idx="6">
                  <c:v>3.274193548387097</c:v>
                </c:pt>
                <c:pt idx="7">
                  <c:v>-0.27580645161290318</c:v>
                </c:pt>
                <c:pt idx="8">
                  <c:v>-0.11129032258064515</c:v>
                </c:pt>
                <c:pt idx="9">
                  <c:v>-4.008064516129032</c:v>
                </c:pt>
                <c:pt idx="10">
                  <c:v>2.758064516129032</c:v>
                </c:pt>
              </c:numCache>
            </c:numRef>
          </c:val>
        </c:ser>
        <c:ser>
          <c:idx val="3"/>
          <c:order val="3"/>
          <c:tx>
            <c:strRef>
              <c:f>'WAGR Reference Results'!$S$34</c:f>
              <c:strCache>
                <c:ptCount val="1"/>
                <c:pt idx="0">
                  <c:v>Containerised Recycling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Reference Results'!$O$35:$O$45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Reference Results'!$S$35:$S$45</c:f>
              <c:numCache>
                <c:formatCode>0.00</c:formatCode>
                <c:ptCount val="11"/>
                <c:pt idx="0">
                  <c:v>7.0483870967741931</c:v>
                </c:pt>
                <c:pt idx="1">
                  <c:v>1.3387096774193548E-3</c:v>
                </c:pt>
                <c:pt idx="2">
                  <c:v>-42.096774193548384</c:v>
                </c:pt>
                <c:pt idx="3">
                  <c:v>-4.7016129032258061</c:v>
                </c:pt>
                <c:pt idx="4">
                  <c:v>0.11451612903225807</c:v>
                </c:pt>
                <c:pt idx="5">
                  <c:v>9.1935483870967728E-4</c:v>
                </c:pt>
                <c:pt idx="6">
                  <c:v>3.314516129032258</c:v>
                </c:pt>
                <c:pt idx="7">
                  <c:v>-0.21693548387096773</c:v>
                </c:pt>
                <c:pt idx="8">
                  <c:v>-8.4677419354838704E-2</c:v>
                </c:pt>
                <c:pt idx="9">
                  <c:v>-4</c:v>
                </c:pt>
                <c:pt idx="10">
                  <c:v>3.9838709677419355</c:v>
                </c:pt>
              </c:numCache>
            </c:numRef>
          </c:val>
        </c:ser>
        <c:axId val="49973120"/>
        <c:axId val="49987584"/>
      </c:barChart>
      <c:catAx>
        <c:axId val="499731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Catergory</a:t>
                </a:r>
              </a:p>
            </c:rich>
          </c:tx>
          <c:layout>
            <c:manualLayout>
              <c:xMode val="edge"/>
              <c:yMode val="edge"/>
              <c:x val="0.4758363867882851"/>
              <c:y val="0.9014600857819602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987584"/>
        <c:crosses val="autoZero"/>
        <c:auto val="1"/>
        <c:lblAlgn val="ctr"/>
        <c:lblOffset val="100"/>
        <c:tickLblSkip val="1"/>
        <c:tickMarkSkip val="1"/>
      </c:catAx>
      <c:valAx>
        <c:axId val="499875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Total Direct Disposal Impact</a:t>
                </a:r>
              </a:p>
            </c:rich>
          </c:tx>
          <c:layout>
            <c:manualLayout>
              <c:xMode val="edge"/>
              <c:yMode val="edge"/>
              <c:x val="2.4163439966043851E-2"/>
              <c:y val="0.18248153127200564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97312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38058967241732"/>
          <c:y val="1.7022448829350424E-2"/>
          <c:w val="0.69383020979411147"/>
          <c:h val="0.1118618065928742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 horizontalDpi="300" verticalDpi="300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90099967222276E-2"/>
          <c:y val="0.14468115168124901"/>
          <c:w val="0.88118897082782588"/>
          <c:h val="0.67659715050937219"/>
        </c:manualLayout>
      </c:layout>
      <c:lineChart>
        <c:grouping val="standard"/>
        <c:ser>
          <c:idx val="0"/>
          <c:order val="0"/>
          <c:tx>
            <c:strRef>
              <c:f>'WAGR Reference Results'!$P$34</c:f>
              <c:strCache>
                <c:ptCount val="1"/>
                <c:pt idx="0">
                  <c:v>Direct Disposal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strRef>
              <c:f>'WAGR Reference Results'!$O$35:$O$45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Reference Results'!$P$35:$P$45</c:f>
              <c:numCache>
                <c:formatCode>0.00</c:formatCode>
                <c:ptCount val="11"/>
                <c:pt idx="0">
                  <c:v>6.6370967741935489</c:v>
                </c:pt>
                <c:pt idx="1">
                  <c:v>4.1209677419354836E-2</c:v>
                </c:pt>
                <c:pt idx="2">
                  <c:v>39.516129032258064</c:v>
                </c:pt>
                <c:pt idx="3">
                  <c:v>15.483870967741936</c:v>
                </c:pt>
                <c:pt idx="4">
                  <c:v>0.21451612903225806</c:v>
                </c:pt>
                <c:pt idx="5">
                  <c:v>3.4999999999999996E-3</c:v>
                </c:pt>
                <c:pt idx="6">
                  <c:v>4.209677419354839</c:v>
                </c:pt>
                <c:pt idx="7">
                  <c:v>1.5564516129032258</c:v>
                </c:pt>
                <c:pt idx="8">
                  <c:v>2.209677419354839</c:v>
                </c:pt>
                <c:pt idx="9">
                  <c:v>6.5161290322580641</c:v>
                </c:pt>
                <c:pt idx="10">
                  <c:v>23.70967741935484</c:v>
                </c:pt>
              </c:numCache>
            </c:numRef>
          </c:val>
        </c:ser>
        <c:ser>
          <c:idx val="1"/>
          <c:order val="1"/>
          <c:tx>
            <c:strRef>
              <c:f>'WAGR Reference Results'!$Q$34</c:f>
              <c:strCache>
                <c:ptCount val="1"/>
                <c:pt idx="0">
                  <c:v>Packaged Disposal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f>'WAGR Reference Results'!$O$35:$O$45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Reference Results'!$Q$35:$Q$45</c:f>
              <c:numCache>
                <c:formatCode>0.00</c:formatCode>
                <c:ptCount val="11"/>
                <c:pt idx="0">
                  <c:v>9.435483870967742</c:v>
                </c:pt>
                <c:pt idx="1">
                  <c:v>5.4758064516129037E-2</c:v>
                </c:pt>
                <c:pt idx="2">
                  <c:v>63.387096774193552</c:v>
                </c:pt>
                <c:pt idx="3">
                  <c:v>17.177419354838712</c:v>
                </c:pt>
                <c:pt idx="4">
                  <c:v>0.28548387096774197</c:v>
                </c:pt>
                <c:pt idx="5">
                  <c:v>4.5000000000000005E-3</c:v>
                </c:pt>
                <c:pt idx="6">
                  <c:v>6.524193548387097</c:v>
                </c:pt>
                <c:pt idx="7">
                  <c:v>1.9193548387096773</c:v>
                </c:pt>
                <c:pt idx="8">
                  <c:v>3.129032258064516</c:v>
                </c:pt>
                <c:pt idx="9">
                  <c:v>10.241935483870968</c:v>
                </c:pt>
                <c:pt idx="10">
                  <c:v>32.741935483870968</c:v>
                </c:pt>
              </c:numCache>
            </c:numRef>
          </c:val>
        </c:ser>
        <c:ser>
          <c:idx val="2"/>
          <c:order val="2"/>
          <c:tx>
            <c:strRef>
              <c:f>'WAGR Reference Results'!$R$34</c:f>
              <c:strCache>
                <c:ptCount val="1"/>
                <c:pt idx="0">
                  <c:v>Bulk Recycling</c:v>
                </c:pt>
              </c:strCache>
            </c:strRef>
          </c:tx>
          <c:spPr>
            <a:ln w="12700">
              <a:solidFill>
                <a:srgbClr val="99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99FF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cat>
            <c:strRef>
              <c:f>'WAGR Reference Results'!$O$35:$O$45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Reference Results'!$R$35:$R$45</c:f>
              <c:numCache>
                <c:formatCode>0.00</c:formatCode>
                <c:ptCount val="11"/>
                <c:pt idx="0">
                  <c:v>7.0241935483870961</c:v>
                </c:pt>
                <c:pt idx="1">
                  <c:v>-1.9919354838709676E-4</c:v>
                </c:pt>
                <c:pt idx="2">
                  <c:v>-42.903225806451609</c:v>
                </c:pt>
                <c:pt idx="3">
                  <c:v>-4.9193548387096779</c:v>
                </c:pt>
                <c:pt idx="4">
                  <c:v>0.11370967741935484</c:v>
                </c:pt>
                <c:pt idx="5">
                  <c:v>7.0967741935483875E-4</c:v>
                </c:pt>
                <c:pt idx="6">
                  <c:v>3.274193548387097</c:v>
                </c:pt>
                <c:pt idx="7">
                  <c:v>-0.27580645161290318</c:v>
                </c:pt>
                <c:pt idx="8">
                  <c:v>-0.11129032258064515</c:v>
                </c:pt>
                <c:pt idx="9">
                  <c:v>-4.008064516129032</c:v>
                </c:pt>
                <c:pt idx="10">
                  <c:v>2.758064516129032</c:v>
                </c:pt>
              </c:numCache>
            </c:numRef>
          </c:val>
        </c:ser>
        <c:ser>
          <c:idx val="3"/>
          <c:order val="3"/>
          <c:tx>
            <c:strRef>
              <c:f>'WAGR Reference Results'!$S$34</c:f>
              <c:strCache>
                <c:ptCount val="1"/>
                <c:pt idx="0">
                  <c:v>Containerised Recycling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CCFFFF"/>
                </a:solidFill>
                <a:prstDash val="solid"/>
              </a:ln>
            </c:spPr>
          </c:marker>
          <c:cat>
            <c:strRef>
              <c:f>'WAGR Reference Results'!$O$35:$O$45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Reference Results'!$S$35:$S$45</c:f>
              <c:numCache>
                <c:formatCode>0.00</c:formatCode>
                <c:ptCount val="11"/>
                <c:pt idx="0">
                  <c:v>7.0483870967741931</c:v>
                </c:pt>
                <c:pt idx="1">
                  <c:v>1.3387096774193548E-3</c:v>
                </c:pt>
                <c:pt idx="2">
                  <c:v>-42.096774193548384</c:v>
                </c:pt>
                <c:pt idx="3">
                  <c:v>-4.7016129032258061</c:v>
                </c:pt>
                <c:pt idx="4">
                  <c:v>0.11451612903225807</c:v>
                </c:pt>
                <c:pt idx="5">
                  <c:v>9.1935483870967728E-4</c:v>
                </c:pt>
                <c:pt idx="6">
                  <c:v>3.314516129032258</c:v>
                </c:pt>
                <c:pt idx="7">
                  <c:v>-0.21693548387096773</c:v>
                </c:pt>
                <c:pt idx="8">
                  <c:v>-8.4677419354838704E-2</c:v>
                </c:pt>
                <c:pt idx="9">
                  <c:v>-4</c:v>
                </c:pt>
                <c:pt idx="10">
                  <c:v>3.9838709677419355</c:v>
                </c:pt>
              </c:numCache>
            </c:numRef>
          </c:val>
        </c:ser>
        <c:marker val="1"/>
        <c:axId val="50169728"/>
        <c:axId val="50180480"/>
      </c:lineChart>
      <c:catAx>
        <c:axId val="50169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8508933805954668"/>
              <c:y val="0.889363815318539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180480"/>
        <c:crosses val="autoZero"/>
        <c:auto val="1"/>
        <c:lblAlgn val="ctr"/>
        <c:lblOffset val="40"/>
        <c:tickLblSkip val="1"/>
        <c:tickMarkSkip val="1"/>
      </c:catAx>
      <c:valAx>
        <c:axId val="501804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/>
                  <a:t>Percentage of Total Direct Disposal Impact</a:t>
                </a:r>
              </a:p>
            </c:rich>
          </c:tx>
          <c:layout>
            <c:manualLayout>
              <c:xMode val="edge"/>
              <c:yMode val="edge"/>
              <c:x val="2.5844991025606334E-2"/>
              <c:y val="0.16595770699117154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16972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883095710742058"/>
          <c:y val="2.8382213812677391E-2"/>
          <c:w val="0.75585743314040099"/>
          <c:h val="0.13907284768211919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7107389033349908E-2"/>
          <c:y val="0.12781972484579401"/>
          <c:w val="0.88223095994128486"/>
          <c:h val="0.6729332572763872"/>
        </c:manualLayout>
      </c:layout>
      <c:barChart>
        <c:barDir val="col"/>
        <c:grouping val="clustered"/>
        <c:ser>
          <c:idx val="1"/>
          <c:order val="1"/>
          <c:tx>
            <c:strRef>
              <c:f>'General metal graphs'!$D$170</c:f>
              <c:strCache>
                <c:ptCount val="1"/>
                <c:pt idx="0">
                  <c:v>LLW (including VLLW)</c:v>
                </c:pt>
              </c:strCache>
            </c:strRef>
          </c:tx>
          <c:spPr>
            <a:solidFill>
              <a:srgbClr val="7CC861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'General metal graphs'!$B$171:$B$181</c:f>
              <c:numCache>
                <c:formatCode>General</c:formatCode>
                <c:ptCount val="11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  <c:pt idx="6">
                  <c:v>2080</c:v>
                </c:pt>
                <c:pt idx="7">
                  <c:v>2090</c:v>
                </c:pt>
                <c:pt idx="8">
                  <c:v>2100</c:v>
                </c:pt>
                <c:pt idx="9">
                  <c:v>2110</c:v>
                </c:pt>
                <c:pt idx="10">
                  <c:v>2120</c:v>
                </c:pt>
              </c:numCache>
            </c:numRef>
          </c:cat>
          <c:val>
            <c:numRef>
              <c:f>'General metal graphs'!$D$171:$D$181</c:f>
              <c:numCache>
                <c:formatCode>General</c:formatCode>
                <c:ptCount val="11"/>
                <c:pt idx="0">
                  <c:v>400000</c:v>
                </c:pt>
                <c:pt idx="1">
                  <c:v>300000</c:v>
                </c:pt>
                <c:pt idx="2">
                  <c:v>220000</c:v>
                </c:pt>
                <c:pt idx="3">
                  <c:v>540000</c:v>
                </c:pt>
                <c:pt idx="4">
                  <c:v>350000</c:v>
                </c:pt>
                <c:pt idx="5">
                  <c:v>350000</c:v>
                </c:pt>
                <c:pt idx="6">
                  <c:v>430000</c:v>
                </c:pt>
                <c:pt idx="7">
                  <c:v>430000</c:v>
                </c:pt>
                <c:pt idx="8">
                  <c:v>430000</c:v>
                </c:pt>
                <c:pt idx="9">
                  <c:v>430000</c:v>
                </c:pt>
                <c:pt idx="10">
                  <c:v>430000</c:v>
                </c:pt>
              </c:numCache>
            </c:numRef>
          </c:val>
        </c:ser>
        <c:axId val="52884992"/>
        <c:axId val="53018624"/>
      </c:barChart>
      <c:lineChart>
        <c:grouping val="standard"/>
        <c:ser>
          <c:idx val="0"/>
          <c:order val="0"/>
          <c:tx>
            <c:strRef>
              <c:f>'General metal graphs'!$C$170</c:f>
              <c:strCache>
                <c:ptCount val="1"/>
                <c:pt idx="0">
                  <c:v>LLW m3/y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'General metal graphs'!$B$171:$B$181</c:f>
              <c:numCache>
                <c:formatCode>General</c:formatCode>
                <c:ptCount val="11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  <c:pt idx="6">
                  <c:v>2080</c:v>
                </c:pt>
                <c:pt idx="7">
                  <c:v>2090</c:v>
                </c:pt>
                <c:pt idx="8">
                  <c:v>2100</c:v>
                </c:pt>
                <c:pt idx="9">
                  <c:v>2110</c:v>
                </c:pt>
                <c:pt idx="10">
                  <c:v>2120</c:v>
                </c:pt>
              </c:numCache>
            </c:numRef>
          </c:cat>
          <c:val>
            <c:numRef>
              <c:f>'General metal graphs'!$C$171:$C$181</c:f>
              <c:numCache>
                <c:formatCode>#,##0</c:formatCode>
                <c:ptCount val="11"/>
                <c:pt idx="0">
                  <c:v>40000</c:v>
                </c:pt>
                <c:pt idx="1">
                  <c:v>30000</c:v>
                </c:pt>
                <c:pt idx="2">
                  <c:v>22000</c:v>
                </c:pt>
                <c:pt idx="3">
                  <c:v>54000</c:v>
                </c:pt>
                <c:pt idx="4">
                  <c:v>35000</c:v>
                </c:pt>
                <c:pt idx="5">
                  <c:v>35000</c:v>
                </c:pt>
                <c:pt idx="6">
                  <c:v>43000</c:v>
                </c:pt>
                <c:pt idx="7">
                  <c:v>43000</c:v>
                </c:pt>
                <c:pt idx="8">
                  <c:v>43000</c:v>
                </c:pt>
                <c:pt idx="9">
                  <c:v>43000</c:v>
                </c:pt>
                <c:pt idx="10">
                  <c:v>43000</c:v>
                </c:pt>
              </c:numCache>
            </c:numRef>
          </c:val>
        </c:ser>
        <c:marker val="1"/>
        <c:axId val="52884992"/>
        <c:axId val="53018624"/>
      </c:lineChart>
      <c:catAx>
        <c:axId val="528849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5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Decades </a:t>
                </a:r>
              </a:p>
            </c:rich>
          </c:tx>
          <c:layout>
            <c:manualLayout>
              <c:xMode val="edge"/>
              <c:yMode val="edge"/>
              <c:x val="0.5063293457486171"/>
              <c:y val="0.8888909826442634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018624"/>
        <c:crosses val="autoZero"/>
        <c:auto val="1"/>
        <c:lblAlgn val="ctr"/>
        <c:lblOffset val="100"/>
        <c:tickLblSkip val="1"/>
        <c:tickMarkSkip val="1"/>
      </c:catAx>
      <c:valAx>
        <c:axId val="530186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5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LLW Volume (m3)</a:t>
                </a:r>
              </a:p>
            </c:rich>
          </c:tx>
          <c:layout>
            <c:manualLayout>
              <c:xMode val="edge"/>
              <c:yMode val="edge"/>
              <c:x val="2.8933148062374556E-2"/>
              <c:y val="0.3712745735842848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88499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108908319626004"/>
          <c:y val="1.9718309859154931E-2"/>
          <c:w val="0.23169973477306174"/>
          <c:h val="4.50704225352112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5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3545810145253903"/>
          <c:y val="0.23228312966684"/>
          <c:w val="0.84462110317465311"/>
          <c:h val="0.61810934504565795"/>
        </c:manualLayout>
      </c:layout>
      <c:barChart>
        <c:barDir val="col"/>
        <c:grouping val="stacked"/>
        <c:ser>
          <c:idx val="0"/>
          <c:order val="0"/>
          <c:tx>
            <c:strRef>
              <c:f>'WAGR  Other Inter''l Results'!$A$47</c:f>
              <c:strCache>
                <c:ptCount val="1"/>
                <c:pt idx="0">
                  <c:v>Boiler Steel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Results'!$B$46:$C$46</c:f>
              <c:strCache>
                <c:ptCount val="2"/>
                <c:pt idx="0">
                  <c:v>With Avoided Metal Sweden</c:v>
                </c:pt>
                <c:pt idx="1">
                  <c:v>Without Avoided Metal Sweden</c:v>
                </c:pt>
              </c:strCache>
            </c:strRef>
          </c:cat>
          <c:val>
            <c:numRef>
              <c:f>'WAGR  Other Inter''l Results'!$B$47:$C$47</c:f>
              <c:numCache>
                <c:formatCode>0.00E+00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'WAGR  Other Inter''l Results'!$A$48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Results'!$B$46:$C$46</c:f>
              <c:strCache>
                <c:ptCount val="2"/>
                <c:pt idx="0">
                  <c:v>With Avoided Metal Sweden</c:v>
                </c:pt>
                <c:pt idx="1">
                  <c:v>Without Avoided Metal Sweden</c:v>
                </c:pt>
              </c:strCache>
            </c:strRef>
          </c:cat>
          <c:val>
            <c:numRef>
              <c:f>'WAGR  Other Inter''l Results'!$B$48:$C$48</c:f>
              <c:numCache>
                <c:formatCode>0.00E+00</c:formatCode>
                <c:ptCount val="2"/>
                <c:pt idx="0">
                  <c:v>1000</c:v>
                </c:pt>
                <c:pt idx="1">
                  <c:v>1000</c:v>
                </c:pt>
              </c:numCache>
            </c:numRef>
          </c:val>
        </c:ser>
        <c:ser>
          <c:idx val="2"/>
          <c:order val="2"/>
          <c:tx>
            <c:strRef>
              <c:f>'WAGR  Other Inter''l Results'!$A$49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Results'!$B$46:$C$46</c:f>
              <c:strCache>
                <c:ptCount val="2"/>
                <c:pt idx="0">
                  <c:v>With Avoided Metal Sweden</c:v>
                </c:pt>
                <c:pt idx="1">
                  <c:v>Without Avoided Metal Sweden</c:v>
                </c:pt>
              </c:strCache>
            </c:strRef>
          </c:cat>
          <c:val>
            <c:numRef>
              <c:f>'WAGR  Other Inter''l Results'!$B$49:$C$49</c:f>
              <c:numCache>
                <c:formatCode>0.00E+00</c:formatCode>
                <c:ptCount val="2"/>
                <c:pt idx="0">
                  <c:v>923</c:v>
                </c:pt>
                <c:pt idx="1">
                  <c:v>923</c:v>
                </c:pt>
              </c:numCache>
            </c:numRef>
          </c:val>
        </c:ser>
        <c:ser>
          <c:idx val="3"/>
          <c:order val="3"/>
          <c:tx>
            <c:strRef>
              <c:f>'WAGR  Other Inter''l Results'!$A$50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Results'!$B$46:$C$46</c:f>
              <c:strCache>
                <c:ptCount val="2"/>
                <c:pt idx="0">
                  <c:v>With Avoided Metal Sweden</c:v>
                </c:pt>
                <c:pt idx="1">
                  <c:v>Without Avoided Metal Sweden</c:v>
                </c:pt>
              </c:strCache>
            </c:strRef>
          </c:cat>
          <c:val>
            <c:numRef>
              <c:f>'WAGR  Other Inter''l Results'!$B$50:$C$50</c:f>
              <c:numCache>
                <c:formatCode>0.00E+00</c:formatCode>
                <c:ptCount val="2"/>
                <c:pt idx="0">
                  <c:v>5820</c:v>
                </c:pt>
                <c:pt idx="1">
                  <c:v>5820</c:v>
                </c:pt>
              </c:numCache>
            </c:numRef>
          </c:val>
        </c:ser>
        <c:ser>
          <c:idx val="4"/>
          <c:order val="4"/>
          <c:tx>
            <c:strRef>
              <c:f>'WAGR  Other Inter''l Results'!$A$51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Results'!$B$46:$C$46</c:f>
              <c:strCache>
                <c:ptCount val="2"/>
                <c:pt idx="0">
                  <c:v>With Avoided Metal Sweden</c:v>
                </c:pt>
                <c:pt idx="1">
                  <c:v>Without Avoided Metal Sweden</c:v>
                </c:pt>
              </c:strCache>
            </c:strRef>
          </c:cat>
          <c:val>
            <c:numRef>
              <c:f>'WAGR  Other Inter''l Results'!$B$51:$C$51</c:f>
              <c:numCache>
                <c:formatCode>0.00E+00</c:formatCode>
                <c:ptCount val="2"/>
                <c:pt idx="0">
                  <c:v>3095</c:v>
                </c:pt>
                <c:pt idx="1">
                  <c:v>3095</c:v>
                </c:pt>
              </c:numCache>
            </c:numRef>
          </c:val>
        </c:ser>
        <c:ser>
          <c:idx val="5"/>
          <c:order val="5"/>
          <c:tx>
            <c:strRef>
              <c:f>'WAGR  Other Inter''l Results'!$A$52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Results'!$B$46:$C$46</c:f>
              <c:strCache>
                <c:ptCount val="2"/>
                <c:pt idx="0">
                  <c:v>With Avoided Metal Sweden</c:v>
                </c:pt>
                <c:pt idx="1">
                  <c:v>Without Avoided Metal Sweden</c:v>
                </c:pt>
              </c:strCache>
            </c:strRef>
          </c:cat>
          <c:val>
            <c:numRef>
              <c:f>'WAGR  Other Inter''l Results'!$B$52:$C$52</c:f>
              <c:numCache>
                <c:formatCode>0.00E+00</c:formatCode>
                <c:ptCount val="2"/>
                <c:pt idx="0">
                  <c:v>3234</c:v>
                </c:pt>
                <c:pt idx="1">
                  <c:v>3234</c:v>
                </c:pt>
              </c:numCache>
            </c:numRef>
          </c:val>
        </c:ser>
        <c:ser>
          <c:idx val="6"/>
          <c:order val="6"/>
          <c:tx>
            <c:strRef>
              <c:f>'WAGR  Other Inter''l Results'!$A$53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Results'!$B$46:$C$46</c:f>
              <c:strCache>
                <c:ptCount val="2"/>
                <c:pt idx="0">
                  <c:v>With Avoided Metal Sweden</c:v>
                </c:pt>
                <c:pt idx="1">
                  <c:v>Without Avoided Metal Sweden</c:v>
                </c:pt>
              </c:strCache>
            </c:strRef>
          </c:cat>
          <c:val>
            <c:numRef>
              <c:f>'WAGR  Other Inter''l Results'!$B$53:$C$53</c:f>
              <c:numCache>
                <c:formatCode>0.00E+00</c:formatCode>
                <c:ptCount val="2"/>
                <c:pt idx="0">
                  <c:v>4550</c:v>
                </c:pt>
                <c:pt idx="1">
                  <c:v>4550</c:v>
                </c:pt>
              </c:numCache>
            </c:numRef>
          </c:val>
        </c:ser>
        <c:ser>
          <c:idx val="7"/>
          <c:order val="7"/>
          <c:tx>
            <c:strRef>
              <c:f>'WAGR  Other Inter''l Results'!$A$54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Results'!$B$46:$C$46</c:f>
              <c:strCache>
                <c:ptCount val="2"/>
                <c:pt idx="0">
                  <c:v>With Avoided Metal Sweden</c:v>
                </c:pt>
                <c:pt idx="1">
                  <c:v>Without Avoided Metal Sweden</c:v>
                </c:pt>
              </c:strCache>
            </c:strRef>
          </c:cat>
          <c:val>
            <c:numRef>
              <c:f>'WAGR  Other Inter''l Results'!$B$54:$C$54</c:f>
              <c:numCache>
                <c:formatCode>0.00E+00</c:formatCode>
                <c:ptCount val="2"/>
                <c:pt idx="0">
                  <c:v>3757</c:v>
                </c:pt>
                <c:pt idx="1">
                  <c:v>3757</c:v>
                </c:pt>
              </c:numCache>
            </c:numRef>
          </c:val>
        </c:ser>
        <c:ser>
          <c:idx val="8"/>
          <c:order val="8"/>
          <c:tx>
            <c:strRef>
              <c:f>'WAGR  Other Inter''l Results'!$A$55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Results'!$B$46:$C$46</c:f>
              <c:strCache>
                <c:ptCount val="2"/>
                <c:pt idx="0">
                  <c:v>With Avoided Metal Sweden</c:v>
                </c:pt>
                <c:pt idx="1">
                  <c:v>Without Avoided Metal Sweden</c:v>
                </c:pt>
              </c:strCache>
            </c:strRef>
          </c:cat>
          <c:val>
            <c:numRef>
              <c:f>'WAGR  Other Inter''l Results'!$B$55:$C$55</c:f>
              <c:numCache>
                <c:formatCode>0.00E+00</c:formatCode>
                <c:ptCount val="2"/>
                <c:pt idx="0">
                  <c:v>-73600</c:v>
                </c:pt>
                <c:pt idx="1">
                  <c:v>0</c:v>
                </c:pt>
              </c:numCache>
            </c:numRef>
          </c:val>
        </c:ser>
        <c:ser>
          <c:idx val="9"/>
          <c:order val="9"/>
          <c:tx>
            <c:strRef>
              <c:f>'WAGR  Other Inter''l Results'!$A$56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Results'!$B$46:$C$46</c:f>
              <c:strCache>
                <c:ptCount val="2"/>
                <c:pt idx="0">
                  <c:v>With Avoided Metal Sweden</c:v>
                </c:pt>
                <c:pt idx="1">
                  <c:v>Without Avoided Metal Sweden</c:v>
                </c:pt>
              </c:strCache>
            </c:strRef>
          </c:cat>
          <c:val>
            <c:numRef>
              <c:f>'WAGR  Other Inter''l Results'!$B$56:$C$56</c:f>
              <c:numCache>
                <c:formatCode>0.00E+00</c:formatCode>
                <c:ptCount val="2"/>
                <c:pt idx="0">
                  <c:v>5252</c:v>
                </c:pt>
                <c:pt idx="1">
                  <c:v>5252</c:v>
                </c:pt>
              </c:numCache>
            </c:numRef>
          </c:val>
        </c:ser>
        <c:ser>
          <c:idx val="10"/>
          <c:order val="10"/>
          <c:tx>
            <c:strRef>
              <c:f>'WAGR  Other Inter''l Results'!$A$57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Results'!$B$46:$C$46</c:f>
              <c:strCache>
                <c:ptCount val="2"/>
                <c:pt idx="0">
                  <c:v>With Avoided Metal Sweden</c:v>
                </c:pt>
                <c:pt idx="1">
                  <c:v>Without Avoided Metal Sweden</c:v>
                </c:pt>
              </c:strCache>
            </c:strRef>
          </c:cat>
          <c:val>
            <c:numRef>
              <c:f>'WAGR  Other Inter''l Results'!$B$57:$C$57</c:f>
              <c:numCache>
                <c:formatCode>0.00E+00</c:formatCode>
                <c:ptCount val="2"/>
                <c:pt idx="0">
                  <c:v>320.7</c:v>
                </c:pt>
                <c:pt idx="1">
                  <c:v>320.7</c:v>
                </c:pt>
              </c:numCache>
            </c:numRef>
          </c:val>
        </c:ser>
        <c:ser>
          <c:idx val="11"/>
          <c:order val="11"/>
          <c:tx>
            <c:strRef>
              <c:f>'WAGR  Other Inter''l Results'!$A$58</c:f>
              <c:strCache>
                <c:ptCount val="1"/>
                <c:pt idx="0">
                  <c:v>Backfill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Results'!$B$46:$C$46</c:f>
              <c:strCache>
                <c:ptCount val="2"/>
                <c:pt idx="0">
                  <c:v>With Avoided Metal Sweden</c:v>
                </c:pt>
                <c:pt idx="1">
                  <c:v>Without Avoided Metal Sweden</c:v>
                </c:pt>
              </c:strCache>
            </c:strRef>
          </c:cat>
          <c:val>
            <c:numRef>
              <c:f>'WAGR  Other Inter''l Results'!$B$58:$C$58</c:f>
              <c:numCache>
                <c:formatCode>0.00E+00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overlap val="100"/>
        <c:axId val="51125632"/>
        <c:axId val="51148288"/>
      </c:barChart>
      <c:catAx>
        <c:axId val="511256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Recycling Option</a:t>
                </a:r>
              </a:p>
            </c:rich>
          </c:tx>
          <c:layout>
            <c:manualLayout>
              <c:xMode val="edge"/>
              <c:yMode val="edge"/>
              <c:x val="0.48594335273308231"/>
              <c:y val="0.89411752102415776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148288"/>
        <c:crosses val="autoZero"/>
        <c:auto val="1"/>
        <c:lblAlgn val="ctr"/>
        <c:lblOffset val="100"/>
        <c:tickLblSkip val="1"/>
        <c:tickMarkSkip val="1"/>
      </c:catAx>
      <c:valAx>
        <c:axId val="511482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Score (Pt)</a:t>
                </a:r>
              </a:p>
            </c:rich>
          </c:tx>
          <c:layout>
            <c:manualLayout>
              <c:xMode val="edge"/>
              <c:yMode val="edge"/>
              <c:x val="2.610430217961885E-2"/>
              <c:y val="0.3019610048743907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12563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17391304347826"/>
          <c:y val="1.7902835656314509E-2"/>
          <c:w val="0.68"/>
          <c:h val="0.163683068857732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4373463562956301"/>
          <c:y val="2.3414634146341505E-2"/>
          <c:w val="0.85607491353300524"/>
          <c:h val="0.36298411051911905"/>
        </c:manualLayout>
      </c:layout>
      <c:barChart>
        <c:barDir val="col"/>
        <c:grouping val="clustered"/>
        <c:ser>
          <c:idx val="0"/>
          <c:order val="0"/>
          <c:tx>
            <c:strRef>
              <c:f>'WAGR  Other Inter''l Results'!$B$62</c:f>
              <c:strCache>
                <c:ptCount val="1"/>
                <c:pt idx="0">
                  <c:v>With Avoided Metal Sweden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Results'!$A$63:$A$73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Results'!$B$63:$B$73</c:f>
              <c:numCache>
                <c:formatCode>0.00</c:formatCode>
                <c:ptCount val="11"/>
                <c:pt idx="0">
                  <c:v>21.9</c:v>
                </c:pt>
                <c:pt idx="1">
                  <c:v>4.1599999999999996E-3</c:v>
                </c:pt>
                <c:pt idx="2">
                  <c:v>-130</c:v>
                </c:pt>
                <c:pt idx="3">
                  <c:v>-14.6</c:v>
                </c:pt>
                <c:pt idx="4">
                  <c:v>0.35399999999999998</c:v>
                </c:pt>
                <c:pt idx="5">
                  <c:v>2.8600000000000001E-3</c:v>
                </c:pt>
                <c:pt idx="6">
                  <c:v>10.3</c:v>
                </c:pt>
                <c:pt idx="7">
                  <c:v>-0.67300000000000004</c:v>
                </c:pt>
                <c:pt idx="8">
                  <c:v>-0.26300000000000001</c:v>
                </c:pt>
                <c:pt idx="9">
                  <c:v>-24.8</c:v>
                </c:pt>
                <c:pt idx="10">
                  <c:v>24.7</c:v>
                </c:pt>
              </c:numCache>
            </c:numRef>
          </c:val>
        </c:ser>
        <c:ser>
          <c:idx val="1"/>
          <c:order val="1"/>
          <c:tx>
            <c:strRef>
              <c:f>'WAGR  Other Inter''l Results'!$C$62</c:f>
              <c:strCache>
                <c:ptCount val="1"/>
                <c:pt idx="0">
                  <c:v>Without Avoided Metal Swden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Results'!$A$63:$A$73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Results'!$C$63:$C$73</c:f>
              <c:numCache>
                <c:formatCode>0.00</c:formatCode>
                <c:ptCount val="11"/>
                <c:pt idx="0">
                  <c:v>2.56</c:v>
                </c:pt>
                <c:pt idx="1">
                  <c:v>2.5100000000000001E-2</c:v>
                </c:pt>
                <c:pt idx="2">
                  <c:v>36.5</c:v>
                </c:pt>
                <c:pt idx="3">
                  <c:v>6.42</c:v>
                </c:pt>
                <c:pt idx="4">
                  <c:v>0.30099999999999999</c:v>
                </c:pt>
                <c:pt idx="5">
                  <c:v>2.8300000000000001E-3</c:v>
                </c:pt>
                <c:pt idx="6">
                  <c:v>2.0699999999999998</c:v>
                </c:pt>
                <c:pt idx="7">
                  <c:v>1.23</c:v>
                </c:pt>
                <c:pt idx="8">
                  <c:v>0.96899999999999997</c:v>
                </c:pt>
                <c:pt idx="9">
                  <c:v>4.3499999999999996</c:v>
                </c:pt>
                <c:pt idx="10">
                  <c:v>35.299999999999997</c:v>
                </c:pt>
              </c:numCache>
            </c:numRef>
          </c:val>
        </c:ser>
        <c:axId val="51156864"/>
        <c:axId val="51167232"/>
      </c:barChart>
      <c:catAx>
        <c:axId val="511568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8576887696111937"/>
              <c:y val="0.844313095731454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167232"/>
        <c:crosses val="autoZero"/>
        <c:auto val="1"/>
        <c:lblAlgn val="ctr"/>
        <c:lblOffset val="100"/>
        <c:tickLblSkip val="1"/>
        <c:tickMarkSkip val="1"/>
      </c:catAx>
      <c:valAx>
        <c:axId val="511672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466786506992092E-2"/>
              <c:y val="0.29341380024865316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156864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930979133226325"/>
          <c:y val="1.6393442622950821E-2"/>
          <c:w val="0.23595505617977527"/>
          <c:h val="9.180327868852458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764714057622302"/>
          <c:y val="0.17592612477182404"/>
          <c:w val="0.863378209067445"/>
          <c:h val="0.6527785156007172"/>
        </c:manualLayout>
      </c:layout>
      <c:barChart>
        <c:barDir val="col"/>
        <c:grouping val="clustered"/>
        <c:ser>
          <c:idx val="0"/>
          <c:order val="0"/>
          <c:tx>
            <c:strRef>
              <c:f>'WAGR  Other Inter''l Results'!$B$75</c:f>
              <c:strCache>
                <c:ptCount val="1"/>
                <c:pt idx="0">
                  <c:v>With Avoided Metal Sweden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Results'!$A$76:$A$86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Results'!$B$76:$B$86</c:f>
              <c:numCache>
                <c:formatCode>General</c:formatCode>
                <c:ptCount val="11"/>
                <c:pt idx="0" formatCode="0.00E+00">
                  <c:v>8740</c:v>
                </c:pt>
                <c:pt idx="1">
                  <c:v>1.66</c:v>
                </c:pt>
                <c:pt idx="2" formatCode="0.00E+00">
                  <c:v>-52200</c:v>
                </c:pt>
                <c:pt idx="3" formatCode="0.00E+00">
                  <c:v>-5830</c:v>
                </c:pt>
                <c:pt idx="4" formatCode="0.00E+00">
                  <c:v>142</c:v>
                </c:pt>
                <c:pt idx="5">
                  <c:v>1.1399999999999999</c:v>
                </c:pt>
                <c:pt idx="6" formatCode="0.00E+00">
                  <c:v>4110</c:v>
                </c:pt>
                <c:pt idx="7" formatCode="0.00E+00">
                  <c:v>-269</c:v>
                </c:pt>
                <c:pt idx="8" formatCode="0.00E+00">
                  <c:v>-105</c:v>
                </c:pt>
                <c:pt idx="9" formatCode="0.00E+00">
                  <c:v>-4960</c:v>
                </c:pt>
                <c:pt idx="10" formatCode="0.00E+00">
                  <c:v>4940</c:v>
                </c:pt>
              </c:numCache>
            </c:numRef>
          </c:val>
        </c:ser>
        <c:ser>
          <c:idx val="1"/>
          <c:order val="1"/>
          <c:tx>
            <c:strRef>
              <c:f>'WAGR  Other Inter''l Results'!$C$75</c:f>
              <c:strCache>
                <c:ptCount val="1"/>
                <c:pt idx="0">
                  <c:v>Without Avoided Metal Sweden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Results'!$A$76:$A$86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Results'!$C$76:$C$86</c:f>
              <c:numCache>
                <c:formatCode>General</c:formatCode>
                <c:ptCount val="11"/>
                <c:pt idx="0" formatCode="0.00E+00">
                  <c:v>1020</c:v>
                </c:pt>
                <c:pt idx="1">
                  <c:v>10</c:v>
                </c:pt>
                <c:pt idx="2" formatCode="0.00E+00">
                  <c:v>14600</c:v>
                </c:pt>
                <c:pt idx="3" formatCode="0.00E+00">
                  <c:v>2570</c:v>
                </c:pt>
                <c:pt idx="4" formatCode="0.00E+00">
                  <c:v>120</c:v>
                </c:pt>
                <c:pt idx="5">
                  <c:v>1.1299999999999999</c:v>
                </c:pt>
                <c:pt idx="6" formatCode="0.00E+00">
                  <c:v>828</c:v>
                </c:pt>
                <c:pt idx="7" formatCode="0.00E+00">
                  <c:v>494</c:v>
                </c:pt>
                <c:pt idx="8" formatCode="0.00E+00">
                  <c:v>388</c:v>
                </c:pt>
                <c:pt idx="9" formatCode="0.00E+00">
                  <c:v>869</c:v>
                </c:pt>
                <c:pt idx="10" formatCode="0.00E+00">
                  <c:v>7070</c:v>
                </c:pt>
              </c:numCache>
            </c:numRef>
          </c:val>
        </c:ser>
        <c:axId val="51270016"/>
        <c:axId val="51271936"/>
      </c:barChart>
      <c:catAx>
        <c:axId val="512700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518251830363313"/>
              <c:y val="0.8801860566245787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271936"/>
        <c:crosses val="autoZero"/>
        <c:auto val="1"/>
        <c:lblAlgn val="ctr"/>
        <c:lblOffset val="100"/>
        <c:tickLblSkip val="1"/>
        <c:tickMarkSkip val="1"/>
      </c:catAx>
      <c:valAx>
        <c:axId val="512719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Score (pt)</a:t>
                </a:r>
              </a:p>
            </c:rich>
          </c:tx>
          <c:layout>
            <c:manualLayout>
              <c:xMode val="edge"/>
              <c:yMode val="edge"/>
              <c:x val="2.5048176543721507E-2"/>
              <c:y val="0.26728167854757801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270016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756578947368418"/>
          <c:y val="2.9673633498750317E-2"/>
          <c:w val="0.36184210526315791"/>
          <c:h val="7.418408374687579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Material and Process Impacts (Eco Indicator 99 Pt) for Sweden Excluding  Avoided Metal</a:t>
            </a:r>
          </a:p>
        </c:rich>
      </c:tx>
      <c:layout>
        <c:manualLayout>
          <c:xMode val="edge"/>
          <c:yMode val="edge"/>
          <c:x val="0.14016769525430942"/>
          <c:y val="3.474908136482939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0785108438232206"/>
          <c:y val="0.57142803278456711"/>
          <c:w val="0.13636356757874699"/>
          <c:h val="0.25482601462014504"/>
        </c:manualLayout>
      </c:layout>
      <c:pieChart>
        <c:varyColors val="1"/>
        <c:ser>
          <c:idx val="1"/>
          <c:order val="0"/>
          <c:tx>
            <c:strRef>
              <c:f>'WAGR  Other Inter''l Results'!$C$46</c:f>
              <c:strCache>
                <c:ptCount val="1"/>
                <c:pt idx="0">
                  <c:v>Without Avoided Metal Sweden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EF383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9D56A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'WAGR  Other Inter''l Results'!$A$47:$A$58</c:f>
              <c:strCache>
                <c:ptCount val="12"/>
                <c:pt idx="0">
                  <c:v>Boiler Steel</c:v>
                </c:pt>
                <c:pt idx="1">
                  <c:v>HHISO Steel</c:v>
                </c:pt>
                <c:pt idx="2">
                  <c:v>HHISO Production</c:v>
                </c:pt>
                <c:pt idx="3">
                  <c:v>Road Transport</c:v>
                </c:pt>
                <c:pt idx="4">
                  <c:v>Sea Transport</c:v>
                </c:pt>
                <c:pt idx="5">
                  <c:v>Treatment</c:v>
                </c:pt>
                <c:pt idx="6">
                  <c:v>Melting</c:v>
                </c:pt>
                <c:pt idx="7">
                  <c:v>Secondary Waste</c:v>
                </c:pt>
                <c:pt idx="8">
                  <c:v>Recycling  Avoided Metal</c:v>
                </c:pt>
                <c:pt idx="9">
                  <c:v>Disposal</c:v>
                </c:pt>
                <c:pt idx="10">
                  <c:v>Grout</c:v>
                </c:pt>
                <c:pt idx="11">
                  <c:v>Backfill</c:v>
                </c:pt>
              </c:strCache>
            </c:strRef>
          </c:cat>
          <c:val>
            <c:numRef>
              <c:f>'WAGR  Other Inter''l Results'!$C$47:$C$58</c:f>
              <c:numCache>
                <c:formatCode>0.00E+00</c:formatCode>
                <c:ptCount val="12"/>
                <c:pt idx="0">
                  <c:v>0</c:v>
                </c:pt>
                <c:pt idx="1">
                  <c:v>1000</c:v>
                </c:pt>
                <c:pt idx="2">
                  <c:v>923</c:v>
                </c:pt>
                <c:pt idx="3">
                  <c:v>5820</c:v>
                </c:pt>
                <c:pt idx="4">
                  <c:v>3095</c:v>
                </c:pt>
                <c:pt idx="5">
                  <c:v>3234</c:v>
                </c:pt>
                <c:pt idx="6">
                  <c:v>4550</c:v>
                </c:pt>
                <c:pt idx="7">
                  <c:v>3757</c:v>
                </c:pt>
                <c:pt idx="8">
                  <c:v>0</c:v>
                </c:pt>
                <c:pt idx="9">
                  <c:v>5252</c:v>
                </c:pt>
                <c:pt idx="10">
                  <c:v>320.7</c:v>
                </c:pt>
                <c:pt idx="11">
                  <c:v>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20658296091367"/>
          <c:y val="0.44787611548556433"/>
          <c:w val="0.93595006029651695"/>
          <c:h val="0.992277165354330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293265495710202"/>
          <c:y val="0.24000026041694902"/>
          <c:w val="0.86885284539576801"/>
          <c:h val="0.59111175250841208"/>
        </c:manualLayout>
      </c:layout>
      <c:barChart>
        <c:barDir val="col"/>
        <c:grouping val="stacked"/>
        <c:ser>
          <c:idx val="1"/>
          <c:order val="0"/>
          <c:tx>
            <c:strRef>
              <c:f>'WAGR  Other Inter''l Results'!$A$132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Results'!$B$131:$C$131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Results'!$B$132:$C$132</c:f>
              <c:numCache>
                <c:formatCode>0.00E+00</c:formatCode>
                <c:ptCount val="2"/>
                <c:pt idx="0">
                  <c:v>1000</c:v>
                </c:pt>
                <c:pt idx="1">
                  <c:v>1000</c:v>
                </c:pt>
              </c:numCache>
            </c:numRef>
          </c:val>
        </c:ser>
        <c:ser>
          <c:idx val="2"/>
          <c:order val="1"/>
          <c:tx>
            <c:strRef>
              <c:f>'WAGR  Other Inter''l Results'!$A$133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Results'!$B$131:$C$131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Results'!$B$133:$C$133</c:f>
              <c:numCache>
                <c:formatCode>0.00E+00</c:formatCode>
                <c:ptCount val="2"/>
                <c:pt idx="0">
                  <c:v>923</c:v>
                </c:pt>
                <c:pt idx="1">
                  <c:v>923</c:v>
                </c:pt>
              </c:numCache>
            </c:numRef>
          </c:val>
        </c:ser>
        <c:ser>
          <c:idx val="3"/>
          <c:order val="2"/>
          <c:tx>
            <c:strRef>
              <c:f>'WAGR  Other Inter''l Results'!$A$134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Results'!$B$131:$C$131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Results'!$B$134:$C$134</c:f>
              <c:numCache>
                <c:formatCode>0.00E+00</c:formatCode>
                <c:ptCount val="2"/>
                <c:pt idx="0">
                  <c:v>5820</c:v>
                </c:pt>
                <c:pt idx="1">
                  <c:v>4402</c:v>
                </c:pt>
              </c:numCache>
            </c:numRef>
          </c:val>
        </c:ser>
        <c:ser>
          <c:idx val="4"/>
          <c:order val="3"/>
          <c:tx>
            <c:strRef>
              <c:f>'WAGR  Other Inter''l Results'!$A$135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Results'!$B$131:$C$131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Results'!$B$135:$C$135</c:f>
              <c:numCache>
                <c:formatCode>0.00E+00</c:formatCode>
                <c:ptCount val="2"/>
                <c:pt idx="0">
                  <c:v>3095</c:v>
                </c:pt>
                <c:pt idx="1">
                  <c:v>0</c:v>
                </c:pt>
              </c:numCache>
            </c:numRef>
          </c:val>
        </c:ser>
        <c:ser>
          <c:idx val="5"/>
          <c:order val="4"/>
          <c:tx>
            <c:strRef>
              <c:f>'WAGR  Other Inter''l Results'!$A$136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Results'!$B$131:$C$131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Results'!$B$136:$C$136</c:f>
              <c:numCache>
                <c:formatCode>0.00E+00</c:formatCode>
                <c:ptCount val="2"/>
                <c:pt idx="0">
                  <c:v>3234</c:v>
                </c:pt>
                <c:pt idx="1">
                  <c:v>3234</c:v>
                </c:pt>
              </c:numCache>
            </c:numRef>
          </c:val>
        </c:ser>
        <c:ser>
          <c:idx val="6"/>
          <c:order val="5"/>
          <c:tx>
            <c:strRef>
              <c:f>'WAGR  Other Inter''l Results'!$A$137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Results'!$B$131:$C$131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Results'!$B$137:$C$137</c:f>
              <c:numCache>
                <c:formatCode>0.00E+00</c:formatCode>
                <c:ptCount val="2"/>
                <c:pt idx="0">
                  <c:v>4550</c:v>
                </c:pt>
                <c:pt idx="1">
                  <c:v>17500</c:v>
                </c:pt>
              </c:numCache>
            </c:numRef>
          </c:val>
        </c:ser>
        <c:ser>
          <c:idx val="7"/>
          <c:order val="6"/>
          <c:tx>
            <c:strRef>
              <c:f>'WAGR  Other Inter''l Results'!$A$138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Results'!$B$131:$C$131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Results'!$B$138:$C$138</c:f>
              <c:numCache>
                <c:formatCode>0.00E+00</c:formatCode>
                <c:ptCount val="2"/>
                <c:pt idx="0">
                  <c:v>3757</c:v>
                </c:pt>
                <c:pt idx="1">
                  <c:v>3757</c:v>
                </c:pt>
              </c:numCache>
            </c:numRef>
          </c:val>
        </c:ser>
        <c:ser>
          <c:idx val="8"/>
          <c:order val="7"/>
          <c:tx>
            <c:strRef>
              <c:f>'WAGR  Other Inter''l Results'!$A$139</c:f>
              <c:strCache>
                <c:ptCount val="1"/>
                <c:pt idx="0">
                  <c:v>Recycling  Avoided Metal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Results'!$B$131:$C$131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Results'!$B$139:$C$139</c:f>
              <c:numCache>
                <c:formatCode>0.00E+00</c:formatCode>
                <c:ptCount val="2"/>
                <c:pt idx="0">
                  <c:v>-73600</c:v>
                </c:pt>
                <c:pt idx="1">
                  <c:v>-73600</c:v>
                </c:pt>
              </c:numCache>
            </c:numRef>
          </c:val>
        </c:ser>
        <c:ser>
          <c:idx val="9"/>
          <c:order val="8"/>
          <c:tx>
            <c:strRef>
              <c:f>'WAGR  Other Inter''l Results'!$A$140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Results'!$B$131:$C$131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Results'!$B$140:$C$140</c:f>
              <c:numCache>
                <c:formatCode>0.00E+00</c:formatCode>
                <c:ptCount val="2"/>
                <c:pt idx="0">
                  <c:v>5252</c:v>
                </c:pt>
                <c:pt idx="1">
                  <c:v>5252</c:v>
                </c:pt>
              </c:numCache>
            </c:numRef>
          </c:val>
        </c:ser>
        <c:ser>
          <c:idx val="10"/>
          <c:order val="9"/>
          <c:tx>
            <c:strRef>
              <c:f>'WAGR  Other Inter''l Results'!$A$141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Results'!$B$131:$C$131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Results'!$B$141:$C$141</c:f>
              <c:numCache>
                <c:formatCode>0.00E+00</c:formatCode>
                <c:ptCount val="2"/>
                <c:pt idx="0">
                  <c:v>320.7</c:v>
                </c:pt>
                <c:pt idx="1">
                  <c:v>320.7</c:v>
                </c:pt>
              </c:numCache>
            </c:numRef>
          </c:val>
        </c:ser>
        <c:overlap val="100"/>
        <c:axId val="51536640"/>
        <c:axId val="51538560"/>
      </c:barChart>
      <c:catAx>
        <c:axId val="515366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Material and Process Impacts (Including Recycled Steel)</a:t>
                </a:r>
              </a:p>
            </c:rich>
          </c:tx>
          <c:layout>
            <c:manualLayout>
              <c:xMode val="edge"/>
              <c:yMode val="edge"/>
              <c:x val="0.35349699918083488"/>
              <c:y val="0.89641444392100555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538560"/>
        <c:crosses val="autoZero"/>
        <c:auto val="1"/>
        <c:lblAlgn val="ctr"/>
        <c:lblOffset val="100"/>
        <c:tickLblSkip val="1"/>
        <c:tickMarkSkip val="1"/>
      </c:catAx>
      <c:valAx>
        <c:axId val="515385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Eco-Indicator 99 Score (Pt)</a:t>
                </a:r>
              </a:p>
            </c:rich>
          </c:tx>
          <c:layout>
            <c:manualLayout>
              <c:xMode val="edge"/>
              <c:yMode val="edge"/>
              <c:x val="2.4574619255395624E-2"/>
              <c:y val="0.33864519071868154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53664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81528662420382"/>
          <c:y val="1.7094017094017096E-2"/>
          <c:w val="0.62261146496815289"/>
          <c:h val="0.185185185185185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392407578073702"/>
          <c:y val="0.17040340088613107"/>
          <c:w val="0.86799295832942414"/>
          <c:h val="0.60986480317141611"/>
        </c:manualLayout>
      </c:layout>
      <c:barChart>
        <c:barDir val="col"/>
        <c:grouping val="stacked"/>
        <c:ser>
          <c:idx val="1"/>
          <c:order val="0"/>
          <c:tx>
            <c:strRef>
              <c:f>'WAGR  Other Inter''l Results'!$A$146</c:f>
              <c:strCache>
                <c:ptCount val="1"/>
                <c:pt idx="0">
                  <c:v>HHISO Steel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Results'!$B$145:$C$145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Results'!$B$146:$C$146</c:f>
              <c:numCache>
                <c:formatCode>0.00E+00</c:formatCode>
                <c:ptCount val="2"/>
                <c:pt idx="0">
                  <c:v>1000</c:v>
                </c:pt>
                <c:pt idx="1">
                  <c:v>1000</c:v>
                </c:pt>
              </c:numCache>
            </c:numRef>
          </c:val>
        </c:ser>
        <c:ser>
          <c:idx val="2"/>
          <c:order val="1"/>
          <c:tx>
            <c:strRef>
              <c:f>'WAGR  Other Inter''l Results'!$A$147</c:f>
              <c:strCache>
                <c:ptCount val="1"/>
                <c:pt idx="0">
                  <c:v>HHISO Production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Results'!$B$145:$C$145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Results'!$B$147:$C$147</c:f>
              <c:numCache>
                <c:formatCode>0.00E+00</c:formatCode>
                <c:ptCount val="2"/>
                <c:pt idx="0">
                  <c:v>923</c:v>
                </c:pt>
                <c:pt idx="1">
                  <c:v>923</c:v>
                </c:pt>
              </c:numCache>
            </c:numRef>
          </c:val>
        </c:ser>
        <c:ser>
          <c:idx val="3"/>
          <c:order val="2"/>
          <c:tx>
            <c:strRef>
              <c:f>'WAGR  Other Inter''l Results'!$A$148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EF383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Results'!$B$145:$C$145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Results'!$B$148:$C$148</c:f>
              <c:numCache>
                <c:formatCode>0.00E+00</c:formatCode>
                <c:ptCount val="2"/>
                <c:pt idx="0">
                  <c:v>5820</c:v>
                </c:pt>
                <c:pt idx="1">
                  <c:v>4402</c:v>
                </c:pt>
              </c:numCache>
            </c:numRef>
          </c:val>
        </c:ser>
        <c:ser>
          <c:idx val="4"/>
          <c:order val="3"/>
          <c:tx>
            <c:strRef>
              <c:f>'WAGR  Other Inter''l Results'!$A$149</c:f>
              <c:strCache>
                <c:ptCount val="1"/>
                <c:pt idx="0">
                  <c:v>Sea Transport</c:v>
                </c:pt>
              </c:strCache>
            </c:strRef>
          </c:tx>
          <c:spPr>
            <a:solidFill>
              <a:srgbClr val="9D56A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Results'!$B$145:$C$145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Results'!$B$149:$C$149</c:f>
              <c:numCache>
                <c:formatCode>0.00E+00</c:formatCode>
                <c:ptCount val="2"/>
                <c:pt idx="0">
                  <c:v>3095</c:v>
                </c:pt>
                <c:pt idx="1">
                  <c:v>0</c:v>
                </c:pt>
              </c:numCache>
            </c:numRef>
          </c:val>
        </c:ser>
        <c:ser>
          <c:idx val="5"/>
          <c:order val="4"/>
          <c:tx>
            <c:strRef>
              <c:f>'WAGR  Other Inter''l Results'!$A$150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AEB2B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Results'!$B$145:$C$145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Results'!$B$150:$C$150</c:f>
              <c:numCache>
                <c:formatCode>0.00E+00</c:formatCode>
                <c:ptCount val="2"/>
                <c:pt idx="0">
                  <c:v>3234</c:v>
                </c:pt>
                <c:pt idx="1">
                  <c:v>3234</c:v>
                </c:pt>
              </c:numCache>
            </c:numRef>
          </c:val>
        </c:ser>
        <c:ser>
          <c:idx val="6"/>
          <c:order val="5"/>
          <c:tx>
            <c:strRef>
              <c:f>'WAGR  Other Inter''l Results'!$A$151</c:f>
              <c:strCache>
                <c:ptCount val="1"/>
                <c:pt idx="0">
                  <c:v>Melting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Results'!$B$145:$C$145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Results'!$B$151:$C$151</c:f>
              <c:numCache>
                <c:formatCode>0.00E+00</c:formatCode>
                <c:ptCount val="2"/>
                <c:pt idx="0">
                  <c:v>4550</c:v>
                </c:pt>
                <c:pt idx="1">
                  <c:v>17500</c:v>
                </c:pt>
              </c:numCache>
            </c:numRef>
          </c:val>
        </c:ser>
        <c:ser>
          <c:idx val="7"/>
          <c:order val="6"/>
          <c:tx>
            <c:strRef>
              <c:f>'WAGR  Other Inter''l Results'!$A$152</c:f>
              <c:strCache>
                <c:ptCount val="1"/>
                <c:pt idx="0">
                  <c:v>Secondary Waste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Results'!$B$145:$C$145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Results'!$B$152:$C$152</c:f>
              <c:numCache>
                <c:formatCode>0.00E+00</c:formatCode>
                <c:ptCount val="2"/>
                <c:pt idx="0">
                  <c:v>3757</c:v>
                </c:pt>
                <c:pt idx="1">
                  <c:v>3757</c:v>
                </c:pt>
              </c:numCache>
            </c:numRef>
          </c:val>
        </c:ser>
        <c:ser>
          <c:idx val="9"/>
          <c:order val="7"/>
          <c:tx>
            <c:strRef>
              <c:f>'WAGR  Other Inter''l Results'!$A$153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Results'!$B$145:$C$145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Results'!$B$153:$C$153</c:f>
              <c:numCache>
                <c:formatCode>0.00E+00</c:formatCode>
                <c:ptCount val="2"/>
                <c:pt idx="0">
                  <c:v>5252</c:v>
                </c:pt>
                <c:pt idx="1">
                  <c:v>5252</c:v>
                </c:pt>
              </c:numCache>
            </c:numRef>
          </c:val>
        </c:ser>
        <c:ser>
          <c:idx val="10"/>
          <c:order val="8"/>
          <c:tx>
            <c:strRef>
              <c:f>'WAGR  Other Inter''l Results'!$A$154</c:f>
              <c:strCache>
                <c:ptCount val="1"/>
                <c:pt idx="0">
                  <c:v>Grout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Results'!$B$145:$C$145</c:f>
              <c:strCache>
                <c:ptCount val="2"/>
                <c:pt idx="0">
                  <c:v>Sweden</c:v>
                </c:pt>
                <c:pt idx="1">
                  <c:v>United Kingdom</c:v>
                </c:pt>
              </c:strCache>
            </c:strRef>
          </c:cat>
          <c:val>
            <c:numRef>
              <c:f>'WAGR  Other Inter''l Results'!$B$154:$C$154</c:f>
              <c:numCache>
                <c:formatCode>0.00E+00</c:formatCode>
                <c:ptCount val="2"/>
                <c:pt idx="0">
                  <c:v>320.7</c:v>
                </c:pt>
                <c:pt idx="1">
                  <c:v>320.7</c:v>
                </c:pt>
              </c:numCache>
            </c:numRef>
          </c:val>
        </c:ser>
        <c:overlap val="100"/>
        <c:axId val="51704960"/>
        <c:axId val="51706880"/>
      </c:barChart>
      <c:catAx>
        <c:axId val="51704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Material and Process Impacts (Excluding Recycled Steel)</a:t>
                </a:r>
              </a:p>
            </c:rich>
          </c:tx>
          <c:layout>
            <c:manualLayout>
              <c:xMode val="edge"/>
              <c:yMode val="edge"/>
              <c:x val="0.35084408287826579"/>
              <c:y val="0.8864632938846716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706880"/>
        <c:crosses val="autoZero"/>
        <c:auto val="1"/>
        <c:lblAlgn val="ctr"/>
        <c:lblOffset val="100"/>
        <c:tickLblSkip val="1"/>
        <c:tickMarkSkip val="1"/>
      </c:catAx>
      <c:valAx>
        <c:axId val="517068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4390126589626537E-2"/>
              <c:y val="0.25327486758765932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70496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2423156821037182"/>
          <c:y val="1.7937353639178338E-2"/>
          <c:w val="0.81374349533322565"/>
          <c:h val="0.1748877049051503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8360699478766203E-2"/>
          <c:y val="0.17368465687874399"/>
          <c:w val="0.88342480087410402"/>
          <c:h val="0.44210639932771206"/>
        </c:manualLayout>
      </c:layout>
      <c:barChart>
        <c:barDir val="col"/>
        <c:grouping val="clustered"/>
        <c:ser>
          <c:idx val="0"/>
          <c:order val="0"/>
          <c:tx>
            <c:strRef>
              <c:f>'WAGR  Other Inter''l Results'!$B$158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Results'!$A$159:$A$169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Results'!$B$159:$B$169</c:f>
              <c:numCache>
                <c:formatCode>0.00</c:formatCode>
                <c:ptCount val="11"/>
                <c:pt idx="0">
                  <c:v>21.9</c:v>
                </c:pt>
                <c:pt idx="1">
                  <c:v>4.1599999999999996E-3</c:v>
                </c:pt>
                <c:pt idx="2">
                  <c:v>-130</c:v>
                </c:pt>
                <c:pt idx="3">
                  <c:v>-14.6</c:v>
                </c:pt>
                <c:pt idx="4">
                  <c:v>0.35399999999999998</c:v>
                </c:pt>
                <c:pt idx="5">
                  <c:v>2.8600000000000001E-3</c:v>
                </c:pt>
                <c:pt idx="6">
                  <c:v>10.3</c:v>
                </c:pt>
                <c:pt idx="7">
                  <c:v>-0.67300000000000004</c:v>
                </c:pt>
                <c:pt idx="8">
                  <c:v>-0.26300000000000001</c:v>
                </c:pt>
                <c:pt idx="9">
                  <c:v>-24.8</c:v>
                </c:pt>
                <c:pt idx="10">
                  <c:v>24.7</c:v>
                </c:pt>
              </c:numCache>
            </c:numRef>
          </c:val>
        </c:ser>
        <c:ser>
          <c:idx val="1"/>
          <c:order val="1"/>
          <c:tx>
            <c:strRef>
              <c:f>'WAGR  Other Inter''l Results'!$C$158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Results'!$A$159:$A$169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Results'!$C$159:$C$169</c:f>
              <c:numCache>
                <c:formatCode>0.00</c:formatCode>
                <c:ptCount val="11"/>
                <c:pt idx="0">
                  <c:v>21.9</c:v>
                </c:pt>
                <c:pt idx="1">
                  <c:v>3.13E-3</c:v>
                </c:pt>
                <c:pt idx="2">
                  <c:v>-129</c:v>
                </c:pt>
                <c:pt idx="3">
                  <c:v>-8.82</c:v>
                </c:pt>
                <c:pt idx="4">
                  <c:v>0.22500000000000001</c:v>
                </c:pt>
                <c:pt idx="5">
                  <c:v>2.5200000000000001E-3</c:v>
                </c:pt>
                <c:pt idx="6">
                  <c:v>10.1</c:v>
                </c:pt>
                <c:pt idx="7">
                  <c:v>-0.504</c:v>
                </c:pt>
                <c:pt idx="8">
                  <c:v>-0.221</c:v>
                </c:pt>
                <c:pt idx="9">
                  <c:v>-24.9</c:v>
                </c:pt>
                <c:pt idx="10">
                  <c:v>52.8</c:v>
                </c:pt>
              </c:numCache>
            </c:numRef>
          </c:val>
        </c:ser>
        <c:axId val="51772800"/>
        <c:axId val="51914240"/>
      </c:barChart>
      <c:catAx>
        <c:axId val="517728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8490562883461219"/>
              <c:y val="0.8631599087497240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914240"/>
        <c:crosses val="autoZero"/>
        <c:auto val="1"/>
        <c:lblAlgn val="ctr"/>
        <c:lblOffset val="100"/>
        <c:tickLblSkip val="1"/>
        <c:tickMarkSkip val="1"/>
      </c:catAx>
      <c:valAx>
        <c:axId val="519142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452831134961633E-2"/>
              <c:y val="0.32105346644753519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772800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356687898089174"/>
          <c:y val="0.89408099688473519"/>
          <c:w val="0.21178343949044587"/>
          <c:h val="9.345794392523364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5144908707127515E-2"/>
          <c:y val="0.22513045840190501"/>
          <c:w val="0.89673893212825806"/>
          <c:h val="0.23560164251362101"/>
        </c:manualLayout>
      </c:layout>
      <c:barChart>
        <c:barDir val="col"/>
        <c:grouping val="clustered"/>
        <c:ser>
          <c:idx val="0"/>
          <c:order val="0"/>
          <c:tx>
            <c:strRef>
              <c:f>'WAGR  Other Inter''l Results'!$B$171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Results'!$A$172:$A$182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Results'!$B$172:$B$182</c:f>
              <c:numCache>
                <c:formatCode>0.00</c:formatCode>
                <c:ptCount val="11"/>
                <c:pt idx="0">
                  <c:v>2.56</c:v>
                </c:pt>
                <c:pt idx="1">
                  <c:v>2.5100000000000001E-2</c:v>
                </c:pt>
                <c:pt idx="2">
                  <c:v>36.5</c:v>
                </c:pt>
                <c:pt idx="3">
                  <c:v>6.42</c:v>
                </c:pt>
                <c:pt idx="4">
                  <c:v>0.30099999999999999</c:v>
                </c:pt>
                <c:pt idx="5">
                  <c:v>2.8300000000000001E-3</c:v>
                </c:pt>
                <c:pt idx="6">
                  <c:v>2.0699999999999998</c:v>
                </c:pt>
                <c:pt idx="7">
                  <c:v>1.23</c:v>
                </c:pt>
                <c:pt idx="8">
                  <c:v>0.96899999999999997</c:v>
                </c:pt>
                <c:pt idx="9">
                  <c:v>4.3499999999999996</c:v>
                </c:pt>
                <c:pt idx="10">
                  <c:v>35.299999999999997</c:v>
                </c:pt>
              </c:numCache>
            </c:numRef>
          </c:val>
        </c:ser>
        <c:ser>
          <c:idx val="1"/>
          <c:order val="1"/>
          <c:tx>
            <c:strRef>
              <c:f>'WAGR  Other Inter''l Results'!$C$171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Results'!$A$172:$A$182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Results'!$C$172:$C$182</c:f>
              <c:numCache>
                <c:formatCode>0.00</c:formatCode>
                <c:ptCount val="11"/>
                <c:pt idx="0">
                  <c:v>2.62</c:v>
                </c:pt>
                <c:pt idx="1">
                  <c:v>2.41E-2</c:v>
                </c:pt>
                <c:pt idx="2">
                  <c:v>37.9</c:v>
                </c:pt>
                <c:pt idx="3">
                  <c:v>12.2</c:v>
                </c:pt>
                <c:pt idx="4">
                  <c:v>0.17199999999999999</c:v>
                </c:pt>
                <c:pt idx="5">
                  <c:v>2.49E-3</c:v>
                </c:pt>
                <c:pt idx="6">
                  <c:v>1.97</c:v>
                </c:pt>
                <c:pt idx="7">
                  <c:v>1.4</c:v>
                </c:pt>
                <c:pt idx="8">
                  <c:v>1.01</c:v>
                </c:pt>
                <c:pt idx="9">
                  <c:v>4.2699999999999996</c:v>
                </c:pt>
                <c:pt idx="10">
                  <c:v>63.4</c:v>
                </c:pt>
              </c:numCache>
            </c:numRef>
          </c:val>
        </c:ser>
        <c:axId val="51967872"/>
        <c:axId val="52080640"/>
      </c:barChart>
      <c:catAx>
        <c:axId val="519678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7932389780391377"/>
              <c:y val="0.8631597819503330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080640"/>
        <c:crosses val="autoZero"/>
        <c:auto val="1"/>
        <c:lblAlgn val="ctr"/>
        <c:lblOffset val="100"/>
        <c:tickLblSkip val="1"/>
        <c:tickMarkSkip val="1"/>
      </c:catAx>
      <c:valAx>
        <c:axId val="520806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Normalised Value</a:t>
                </a:r>
              </a:p>
            </c:rich>
          </c:tx>
          <c:layout>
            <c:manualLayout>
              <c:xMode val="edge"/>
              <c:yMode val="edge"/>
              <c:x val="2.4436193893484837E-2"/>
              <c:y val="0.18421094286291137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96787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879746835443039"/>
          <c:y val="4.0123577725868435E-2"/>
          <c:w val="0.20411392405063292"/>
          <c:h val="8.642001356340893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4754149391894"/>
          <c:y val="0.18750000000000003"/>
          <c:w val="0.86703135096097605"/>
          <c:h val="0.6383928571428571"/>
        </c:manualLayout>
      </c:layout>
      <c:barChart>
        <c:barDir val="col"/>
        <c:grouping val="clustered"/>
        <c:ser>
          <c:idx val="0"/>
          <c:order val="0"/>
          <c:tx>
            <c:strRef>
              <c:f>'WAGR  Other Inter''l Results'!$B$185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Results'!$A$186:$A$196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Results'!$B$186:$B$196</c:f>
              <c:numCache>
                <c:formatCode>General</c:formatCode>
                <c:ptCount val="11"/>
                <c:pt idx="0" formatCode="0.00E+00">
                  <c:v>8740</c:v>
                </c:pt>
                <c:pt idx="1">
                  <c:v>1.66</c:v>
                </c:pt>
                <c:pt idx="2" formatCode="0.00E+00">
                  <c:v>-52200</c:v>
                </c:pt>
                <c:pt idx="3" formatCode="0.00E+00">
                  <c:v>-5830</c:v>
                </c:pt>
                <c:pt idx="4" formatCode="0.00E+00">
                  <c:v>142</c:v>
                </c:pt>
                <c:pt idx="5">
                  <c:v>1.1399999999999999</c:v>
                </c:pt>
                <c:pt idx="6" formatCode="0.00E+00">
                  <c:v>4110</c:v>
                </c:pt>
                <c:pt idx="7" formatCode="0.00E+00">
                  <c:v>-269</c:v>
                </c:pt>
                <c:pt idx="8" formatCode="0.00E+00">
                  <c:v>-105</c:v>
                </c:pt>
                <c:pt idx="9" formatCode="0.00E+00">
                  <c:v>-4960</c:v>
                </c:pt>
                <c:pt idx="10" formatCode="0.00E+00">
                  <c:v>4940</c:v>
                </c:pt>
              </c:numCache>
            </c:numRef>
          </c:val>
        </c:ser>
        <c:ser>
          <c:idx val="1"/>
          <c:order val="1"/>
          <c:tx>
            <c:strRef>
              <c:f>'WAGR  Other Inter''l Results'!$C$185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rgbClr val="FFB14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Results'!$A$186:$A$196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Results'!$C$186:$C$196</c:f>
              <c:numCache>
                <c:formatCode>General</c:formatCode>
                <c:ptCount val="11"/>
                <c:pt idx="0" formatCode="0.00E+00">
                  <c:v>8760</c:v>
                </c:pt>
                <c:pt idx="1">
                  <c:v>1.25</c:v>
                </c:pt>
                <c:pt idx="2" formatCode="0.00E+00">
                  <c:v>-51600</c:v>
                </c:pt>
                <c:pt idx="3" formatCode="0.00E+00">
                  <c:v>-3530</c:v>
                </c:pt>
                <c:pt idx="4" formatCode="0.00E+00">
                  <c:v>90</c:v>
                </c:pt>
                <c:pt idx="5">
                  <c:v>1.01</c:v>
                </c:pt>
                <c:pt idx="6" formatCode="0.00E+00">
                  <c:v>4050</c:v>
                </c:pt>
                <c:pt idx="7" formatCode="0.00E+00">
                  <c:v>-202</c:v>
                </c:pt>
                <c:pt idx="8" formatCode="0.00E+00">
                  <c:v>-88.3</c:v>
                </c:pt>
                <c:pt idx="9" formatCode="0.00E+00">
                  <c:v>-4970</c:v>
                </c:pt>
                <c:pt idx="10" formatCode="0.00E+00">
                  <c:v>10600</c:v>
                </c:pt>
              </c:numCache>
            </c:numRef>
          </c:val>
        </c:ser>
        <c:axId val="51192192"/>
        <c:axId val="51194112"/>
      </c:barChart>
      <c:catAx>
        <c:axId val="51192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43395690188408"/>
              <c:y val="0.8839287344516717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194112"/>
        <c:crosses val="autoZero"/>
        <c:auto val="1"/>
        <c:lblAlgn val="ctr"/>
        <c:lblOffset val="100"/>
        <c:tickLblSkip val="1"/>
        <c:tickMarkSkip val="1"/>
      </c:catAx>
      <c:valAx>
        <c:axId val="511941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452831134961633E-2"/>
              <c:y val="0.272321408193541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192192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350318471337583"/>
          <c:y val="1.6304347826086956E-2"/>
          <c:w val="0.25477707006369427"/>
          <c:h val="7.88043478260869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707796876021201"/>
          <c:y val="0.19026589780208103"/>
          <c:w val="0.8747725583461371"/>
          <c:h val="0.28318645254263303"/>
        </c:manualLayout>
      </c:layout>
      <c:barChart>
        <c:barDir val="col"/>
        <c:grouping val="clustered"/>
        <c:ser>
          <c:idx val="0"/>
          <c:order val="0"/>
          <c:tx>
            <c:strRef>
              <c:f>'WAGR  Other Inter''l Results'!$B$200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Results'!$A$201:$A$211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Results'!$B$201:$B$211</c:f>
              <c:numCache>
                <c:formatCode>General</c:formatCode>
                <c:ptCount val="11"/>
                <c:pt idx="0" formatCode="0.00E+00">
                  <c:v>1020</c:v>
                </c:pt>
                <c:pt idx="1">
                  <c:v>10</c:v>
                </c:pt>
                <c:pt idx="2" formatCode="0.00E+00">
                  <c:v>14600</c:v>
                </c:pt>
                <c:pt idx="3" formatCode="0.00E+00">
                  <c:v>2570</c:v>
                </c:pt>
                <c:pt idx="4" formatCode="0.00E+00">
                  <c:v>120</c:v>
                </c:pt>
                <c:pt idx="5">
                  <c:v>1.1299999999999999</c:v>
                </c:pt>
                <c:pt idx="6" formatCode="0.00E+00">
                  <c:v>828</c:v>
                </c:pt>
                <c:pt idx="7" formatCode="0.00E+00">
                  <c:v>494</c:v>
                </c:pt>
                <c:pt idx="8" formatCode="0.00E+00">
                  <c:v>388</c:v>
                </c:pt>
                <c:pt idx="9" formatCode="0.00E+00">
                  <c:v>869</c:v>
                </c:pt>
                <c:pt idx="10" formatCode="0.00E+00">
                  <c:v>7070</c:v>
                </c:pt>
              </c:numCache>
            </c:numRef>
          </c:val>
        </c:ser>
        <c:ser>
          <c:idx val="1"/>
          <c:order val="1"/>
          <c:tx>
            <c:strRef>
              <c:f>'WAGR  Other Inter''l Results'!$C$200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'WAGR  Other Inter''l Results'!$A$201:$A$211</c:f>
              <c:strCache>
                <c:ptCount val="11"/>
                <c:pt idx="0">
                  <c:v>Carcinogen</c:v>
                </c:pt>
                <c:pt idx="1">
                  <c:v>Respiratory Organics</c:v>
                </c:pt>
                <c:pt idx="2">
                  <c:v>Respiratory Inorgancis</c:v>
                </c:pt>
                <c:pt idx="3">
                  <c:v>Climate Change</c:v>
                </c:pt>
                <c:pt idx="4">
                  <c:v>Radiation</c:v>
                </c:pt>
                <c:pt idx="5">
                  <c:v>Ozone Layer</c:v>
                </c:pt>
                <c:pt idx="6">
                  <c:v>Ecotoxicity</c:v>
                </c:pt>
                <c:pt idx="7">
                  <c:v>Acidification &amp; Eutrophication</c:v>
                </c:pt>
                <c:pt idx="8">
                  <c:v>Land Use</c:v>
                </c:pt>
                <c:pt idx="9">
                  <c:v>Minerals</c:v>
                </c:pt>
                <c:pt idx="10">
                  <c:v>Fossil Fuels</c:v>
                </c:pt>
              </c:strCache>
            </c:strRef>
          </c:cat>
          <c:val>
            <c:numRef>
              <c:f>'WAGR  Other Inter''l Results'!$C$201:$C$211</c:f>
              <c:numCache>
                <c:formatCode>General</c:formatCode>
                <c:ptCount val="11"/>
                <c:pt idx="0" formatCode="0.00E+00">
                  <c:v>1050</c:v>
                </c:pt>
                <c:pt idx="1">
                  <c:v>9.6199999999999992</c:v>
                </c:pt>
                <c:pt idx="2" formatCode="0.00E+00">
                  <c:v>15100</c:v>
                </c:pt>
                <c:pt idx="3" formatCode="0.00E+00">
                  <c:v>4870</c:v>
                </c:pt>
                <c:pt idx="4" formatCode="0.00E+00">
                  <c:v>69</c:v>
                </c:pt>
                <c:pt idx="5">
                  <c:v>0.98799999999999999</c:v>
                </c:pt>
                <c:pt idx="6" formatCode="0.00E+00">
                  <c:v>763</c:v>
                </c:pt>
                <c:pt idx="7" formatCode="0.00E+00">
                  <c:v>5.61</c:v>
                </c:pt>
                <c:pt idx="8" formatCode="0.00E+00">
                  <c:v>404</c:v>
                </c:pt>
                <c:pt idx="9" formatCode="0.00E+00">
                  <c:v>854</c:v>
                </c:pt>
                <c:pt idx="10" formatCode="0.00E+00">
                  <c:v>12700</c:v>
                </c:pt>
              </c:numCache>
            </c:numRef>
          </c:val>
        </c:ser>
        <c:axId val="51223168"/>
        <c:axId val="51225344"/>
      </c:barChart>
      <c:catAx>
        <c:axId val="512231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Impact Category</a:t>
                </a:r>
              </a:p>
            </c:rich>
          </c:tx>
          <c:layout>
            <c:manualLayout>
              <c:xMode val="edge"/>
              <c:yMode val="edge"/>
              <c:x val="0.49340903702409622"/>
              <c:y val="0.884445476487020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225344"/>
        <c:crosses val="autoZero"/>
        <c:auto val="1"/>
        <c:lblAlgn val="ctr"/>
        <c:lblOffset val="100"/>
        <c:tickLblSkip val="1"/>
        <c:tickMarkSkip val="1"/>
      </c:catAx>
      <c:valAx>
        <c:axId val="512253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Eco Indicator 99 Score (Pt)</a:t>
                </a:r>
              </a:p>
            </c:rich>
          </c:tx>
          <c:layout>
            <c:manualLayout>
              <c:xMode val="edge"/>
              <c:yMode val="edge"/>
              <c:x val="2.4482074447508644E-2"/>
              <c:y val="9.3333333333333338E-2"/>
            </c:manualLayout>
          </c:layout>
          <c:spPr>
            <a:noFill/>
            <a:ln w="25400">
              <a:noFill/>
            </a:ln>
          </c:spPr>
        </c:title>
        <c:numFmt formatCode="0.00E+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223168"/>
        <c:crosses val="autoZero"/>
        <c:crossBetween val="between"/>
      </c:valAx>
      <c:spPr>
        <a:noFill/>
        <a:ln w="12700">
          <a:solidFill>
            <a:srgbClr val="3F77BE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1489698890649758"/>
          <c:y val="3.4852546916890083E-2"/>
          <c:w val="0.23296354992076071"/>
          <c:h val="7.774798927613940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2.xml"/><Relationship Id="rId3" Type="http://schemas.openxmlformats.org/officeDocument/2006/relationships/chart" Target="../charts/chart147.xml"/><Relationship Id="rId7" Type="http://schemas.openxmlformats.org/officeDocument/2006/relationships/chart" Target="../charts/chart151.xml"/><Relationship Id="rId2" Type="http://schemas.openxmlformats.org/officeDocument/2006/relationships/chart" Target="../charts/chart146.xml"/><Relationship Id="rId1" Type="http://schemas.openxmlformats.org/officeDocument/2006/relationships/chart" Target="../charts/chart145.xml"/><Relationship Id="rId6" Type="http://schemas.openxmlformats.org/officeDocument/2006/relationships/chart" Target="../charts/chart150.xml"/><Relationship Id="rId5" Type="http://schemas.openxmlformats.org/officeDocument/2006/relationships/chart" Target="../charts/chart149.xml"/><Relationship Id="rId10" Type="http://schemas.openxmlformats.org/officeDocument/2006/relationships/chart" Target="../charts/chart154.xml"/><Relationship Id="rId4" Type="http://schemas.openxmlformats.org/officeDocument/2006/relationships/chart" Target="../charts/chart148.xml"/><Relationship Id="rId9" Type="http://schemas.openxmlformats.org/officeDocument/2006/relationships/chart" Target="../charts/chart15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2.xml"/><Relationship Id="rId13" Type="http://schemas.openxmlformats.org/officeDocument/2006/relationships/chart" Target="../charts/chart167.xml"/><Relationship Id="rId18" Type="http://schemas.openxmlformats.org/officeDocument/2006/relationships/chart" Target="../charts/chart172.xml"/><Relationship Id="rId26" Type="http://schemas.openxmlformats.org/officeDocument/2006/relationships/chart" Target="../charts/chart180.xml"/><Relationship Id="rId39" Type="http://schemas.openxmlformats.org/officeDocument/2006/relationships/chart" Target="../charts/chart193.xml"/><Relationship Id="rId3" Type="http://schemas.openxmlformats.org/officeDocument/2006/relationships/chart" Target="../charts/chart157.xml"/><Relationship Id="rId21" Type="http://schemas.openxmlformats.org/officeDocument/2006/relationships/chart" Target="../charts/chart175.xml"/><Relationship Id="rId34" Type="http://schemas.openxmlformats.org/officeDocument/2006/relationships/chart" Target="../charts/chart188.xml"/><Relationship Id="rId42" Type="http://schemas.openxmlformats.org/officeDocument/2006/relationships/chart" Target="../charts/chart196.xml"/><Relationship Id="rId7" Type="http://schemas.openxmlformats.org/officeDocument/2006/relationships/chart" Target="../charts/chart161.xml"/><Relationship Id="rId12" Type="http://schemas.openxmlformats.org/officeDocument/2006/relationships/chart" Target="../charts/chart166.xml"/><Relationship Id="rId17" Type="http://schemas.openxmlformats.org/officeDocument/2006/relationships/chart" Target="../charts/chart171.xml"/><Relationship Id="rId25" Type="http://schemas.openxmlformats.org/officeDocument/2006/relationships/chart" Target="../charts/chart179.xml"/><Relationship Id="rId33" Type="http://schemas.openxmlformats.org/officeDocument/2006/relationships/chart" Target="../charts/chart187.xml"/><Relationship Id="rId38" Type="http://schemas.openxmlformats.org/officeDocument/2006/relationships/chart" Target="../charts/chart192.xml"/><Relationship Id="rId2" Type="http://schemas.openxmlformats.org/officeDocument/2006/relationships/chart" Target="../charts/chart156.xml"/><Relationship Id="rId16" Type="http://schemas.openxmlformats.org/officeDocument/2006/relationships/chart" Target="../charts/chart170.xml"/><Relationship Id="rId20" Type="http://schemas.openxmlformats.org/officeDocument/2006/relationships/chart" Target="../charts/chart174.xml"/><Relationship Id="rId29" Type="http://schemas.openxmlformats.org/officeDocument/2006/relationships/chart" Target="../charts/chart183.xml"/><Relationship Id="rId41" Type="http://schemas.openxmlformats.org/officeDocument/2006/relationships/chart" Target="../charts/chart195.xml"/><Relationship Id="rId1" Type="http://schemas.openxmlformats.org/officeDocument/2006/relationships/chart" Target="../charts/chart155.xml"/><Relationship Id="rId6" Type="http://schemas.openxmlformats.org/officeDocument/2006/relationships/chart" Target="../charts/chart160.xml"/><Relationship Id="rId11" Type="http://schemas.openxmlformats.org/officeDocument/2006/relationships/chart" Target="../charts/chart165.xml"/><Relationship Id="rId24" Type="http://schemas.openxmlformats.org/officeDocument/2006/relationships/chart" Target="../charts/chart178.xml"/><Relationship Id="rId32" Type="http://schemas.openxmlformats.org/officeDocument/2006/relationships/chart" Target="../charts/chart186.xml"/><Relationship Id="rId37" Type="http://schemas.openxmlformats.org/officeDocument/2006/relationships/chart" Target="../charts/chart191.xml"/><Relationship Id="rId40" Type="http://schemas.openxmlformats.org/officeDocument/2006/relationships/chart" Target="../charts/chart194.xml"/><Relationship Id="rId5" Type="http://schemas.openxmlformats.org/officeDocument/2006/relationships/chart" Target="../charts/chart159.xml"/><Relationship Id="rId15" Type="http://schemas.openxmlformats.org/officeDocument/2006/relationships/chart" Target="../charts/chart169.xml"/><Relationship Id="rId23" Type="http://schemas.openxmlformats.org/officeDocument/2006/relationships/chart" Target="../charts/chart177.xml"/><Relationship Id="rId28" Type="http://schemas.openxmlformats.org/officeDocument/2006/relationships/chart" Target="../charts/chart182.xml"/><Relationship Id="rId36" Type="http://schemas.openxmlformats.org/officeDocument/2006/relationships/chart" Target="../charts/chart190.xml"/><Relationship Id="rId10" Type="http://schemas.openxmlformats.org/officeDocument/2006/relationships/chart" Target="../charts/chart164.xml"/><Relationship Id="rId19" Type="http://schemas.openxmlformats.org/officeDocument/2006/relationships/chart" Target="../charts/chart173.xml"/><Relationship Id="rId31" Type="http://schemas.openxmlformats.org/officeDocument/2006/relationships/chart" Target="../charts/chart185.xml"/><Relationship Id="rId4" Type="http://schemas.openxmlformats.org/officeDocument/2006/relationships/chart" Target="../charts/chart158.xml"/><Relationship Id="rId9" Type="http://schemas.openxmlformats.org/officeDocument/2006/relationships/chart" Target="../charts/chart163.xml"/><Relationship Id="rId14" Type="http://schemas.openxmlformats.org/officeDocument/2006/relationships/chart" Target="../charts/chart168.xml"/><Relationship Id="rId22" Type="http://schemas.openxmlformats.org/officeDocument/2006/relationships/chart" Target="../charts/chart176.xml"/><Relationship Id="rId27" Type="http://schemas.openxmlformats.org/officeDocument/2006/relationships/chart" Target="../charts/chart181.xml"/><Relationship Id="rId30" Type="http://schemas.openxmlformats.org/officeDocument/2006/relationships/chart" Target="../charts/chart184.xml"/><Relationship Id="rId35" Type="http://schemas.openxmlformats.org/officeDocument/2006/relationships/chart" Target="../charts/chart18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9.xml"/><Relationship Id="rId2" Type="http://schemas.openxmlformats.org/officeDocument/2006/relationships/chart" Target="../charts/chart198.xml"/><Relationship Id="rId1" Type="http://schemas.openxmlformats.org/officeDocument/2006/relationships/chart" Target="../charts/chart197.xml"/><Relationship Id="rId5" Type="http://schemas.openxmlformats.org/officeDocument/2006/relationships/chart" Target="../charts/chart201.xml"/><Relationship Id="rId4" Type="http://schemas.openxmlformats.org/officeDocument/2006/relationships/chart" Target="../charts/chart200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9.xml"/><Relationship Id="rId13" Type="http://schemas.openxmlformats.org/officeDocument/2006/relationships/chart" Target="../charts/chart214.xml"/><Relationship Id="rId18" Type="http://schemas.openxmlformats.org/officeDocument/2006/relationships/chart" Target="../charts/chart219.xml"/><Relationship Id="rId26" Type="http://schemas.openxmlformats.org/officeDocument/2006/relationships/chart" Target="../charts/chart227.xml"/><Relationship Id="rId39" Type="http://schemas.openxmlformats.org/officeDocument/2006/relationships/chart" Target="../charts/chart240.xml"/><Relationship Id="rId3" Type="http://schemas.openxmlformats.org/officeDocument/2006/relationships/chart" Target="../charts/chart204.xml"/><Relationship Id="rId21" Type="http://schemas.openxmlformats.org/officeDocument/2006/relationships/chart" Target="../charts/chart222.xml"/><Relationship Id="rId34" Type="http://schemas.openxmlformats.org/officeDocument/2006/relationships/chart" Target="../charts/chart235.xml"/><Relationship Id="rId42" Type="http://schemas.openxmlformats.org/officeDocument/2006/relationships/chart" Target="../charts/chart243.xml"/><Relationship Id="rId7" Type="http://schemas.openxmlformats.org/officeDocument/2006/relationships/chart" Target="../charts/chart208.xml"/><Relationship Id="rId12" Type="http://schemas.openxmlformats.org/officeDocument/2006/relationships/chart" Target="../charts/chart213.xml"/><Relationship Id="rId17" Type="http://schemas.openxmlformats.org/officeDocument/2006/relationships/chart" Target="../charts/chart218.xml"/><Relationship Id="rId25" Type="http://schemas.openxmlformats.org/officeDocument/2006/relationships/chart" Target="../charts/chart226.xml"/><Relationship Id="rId33" Type="http://schemas.openxmlformats.org/officeDocument/2006/relationships/chart" Target="../charts/chart234.xml"/><Relationship Id="rId38" Type="http://schemas.openxmlformats.org/officeDocument/2006/relationships/chart" Target="../charts/chart239.xml"/><Relationship Id="rId2" Type="http://schemas.openxmlformats.org/officeDocument/2006/relationships/chart" Target="../charts/chart203.xml"/><Relationship Id="rId16" Type="http://schemas.openxmlformats.org/officeDocument/2006/relationships/chart" Target="../charts/chart217.xml"/><Relationship Id="rId20" Type="http://schemas.openxmlformats.org/officeDocument/2006/relationships/chart" Target="../charts/chart221.xml"/><Relationship Id="rId29" Type="http://schemas.openxmlformats.org/officeDocument/2006/relationships/chart" Target="../charts/chart230.xml"/><Relationship Id="rId41" Type="http://schemas.openxmlformats.org/officeDocument/2006/relationships/chart" Target="../charts/chart242.xml"/><Relationship Id="rId1" Type="http://schemas.openxmlformats.org/officeDocument/2006/relationships/chart" Target="../charts/chart202.xml"/><Relationship Id="rId6" Type="http://schemas.openxmlformats.org/officeDocument/2006/relationships/chart" Target="../charts/chart207.xml"/><Relationship Id="rId11" Type="http://schemas.openxmlformats.org/officeDocument/2006/relationships/chart" Target="../charts/chart212.xml"/><Relationship Id="rId24" Type="http://schemas.openxmlformats.org/officeDocument/2006/relationships/chart" Target="../charts/chart225.xml"/><Relationship Id="rId32" Type="http://schemas.openxmlformats.org/officeDocument/2006/relationships/chart" Target="../charts/chart233.xml"/><Relationship Id="rId37" Type="http://schemas.openxmlformats.org/officeDocument/2006/relationships/chart" Target="../charts/chart238.xml"/><Relationship Id="rId40" Type="http://schemas.openxmlformats.org/officeDocument/2006/relationships/chart" Target="../charts/chart241.xml"/><Relationship Id="rId5" Type="http://schemas.openxmlformats.org/officeDocument/2006/relationships/chart" Target="../charts/chart206.xml"/><Relationship Id="rId15" Type="http://schemas.openxmlformats.org/officeDocument/2006/relationships/chart" Target="../charts/chart216.xml"/><Relationship Id="rId23" Type="http://schemas.openxmlformats.org/officeDocument/2006/relationships/chart" Target="../charts/chart224.xml"/><Relationship Id="rId28" Type="http://schemas.openxmlformats.org/officeDocument/2006/relationships/chart" Target="../charts/chart229.xml"/><Relationship Id="rId36" Type="http://schemas.openxmlformats.org/officeDocument/2006/relationships/chart" Target="../charts/chart237.xml"/><Relationship Id="rId10" Type="http://schemas.openxmlformats.org/officeDocument/2006/relationships/chart" Target="../charts/chart211.xml"/><Relationship Id="rId19" Type="http://schemas.openxmlformats.org/officeDocument/2006/relationships/chart" Target="../charts/chart220.xml"/><Relationship Id="rId31" Type="http://schemas.openxmlformats.org/officeDocument/2006/relationships/chart" Target="../charts/chart232.xml"/><Relationship Id="rId44" Type="http://schemas.openxmlformats.org/officeDocument/2006/relationships/chart" Target="../charts/chart245.xml"/><Relationship Id="rId4" Type="http://schemas.openxmlformats.org/officeDocument/2006/relationships/chart" Target="../charts/chart205.xml"/><Relationship Id="rId9" Type="http://schemas.openxmlformats.org/officeDocument/2006/relationships/chart" Target="../charts/chart210.xml"/><Relationship Id="rId14" Type="http://schemas.openxmlformats.org/officeDocument/2006/relationships/chart" Target="../charts/chart215.xml"/><Relationship Id="rId22" Type="http://schemas.openxmlformats.org/officeDocument/2006/relationships/chart" Target="../charts/chart223.xml"/><Relationship Id="rId27" Type="http://schemas.openxmlformats.org/officeDocument/2006/relationships/chart" Target="../charts/chart228.xml"/><Relationship Id="rId30" Type="http://schemas.openxmlformats.org/officeDocument/2006/relationships/chart" Target="../charts/chart231.xml"/><Relationship Id="rId35" Type="http://schemas.openxmlformats.org/officeDocument/2006/relationships/chart" Target="../charts/chart236.xml"/><Relationship Id="rId43" Type="http://schemas.openxmlformats.org/officeDocument/2006/relationships/chart" Target="../charts/chart24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10" Type="http://schemas.openxmlformats.org/officeDocument/2006/relationships/chart" Target="../charts/chart35.xml"/><Relationship Id="rId4" Type="http://schemas.openxmlformats.org/officeDocument/2006/relationships/chart" Target="../charts/chart29.xml"/><Relationship Id="rId9" Type="http://schemas.openxmlformats.org/officeDocument/2006/relationships/chart" Target="../charts/chart3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3.xml"/><Relationship Id="rId13" Type="http://schemas.openxmlformats.org/officeDocument/2006/relationships/chart" Target="../charts/chart48.xml"/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12" Type="http://schemas.openxmlformats.org/officeDocument/2006/relationships/chart" Target="../charts/chart47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11" Type="http://schemas.openxmlformats.org/officeDocument/2006/relationships/chart" Target="../charts/chart46.xml"/><Relationship Id="rId5" Type="http://schemas.openxmlformats.org/officeDocument/2006/relationships/chart" Target="../charts/chart40.xml"/><Relationship Id="rId10" Type="http://schemas.openxmlformats.org/officeDocument/2006/relationships/chart" Target="../charts/chart45.xml"/><Relationship Id="rId4" Type="http://schemas.openxmlformats.org/officeDocument/2006/relationships/chart" Target="../charts/chart39.xml"/><Relationship Id="rId9" Type="http://schemas.openxmlformats.org/officeDocument/2006/relationships/chart" Target="../charts/chart4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Relationship Id="rId9" Type="http://schemas.openxmlformats.org/officeDocument/2006/relationships/chart" Target="../charts/chart5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13" Type="http://schemas.openxmlformats.org/officeDocument/2006/relationships/chart" Target="../charts/chart70.xml"/><Relationship Id="rId18" Type="http://schemas.openxmlformats.org/officeDocument/2006/relationships/chart" Target="../charts/chart75.xml"/><Relationship Id="rId3" Type="http://schemas.openxmlformats.org/officeDocument/2006/relationships/chart" Target="../charts/chart60.xml"/><Relationship Id="rId21" Type="http://schemas.openxmlformats.org/officeDocument/2006/relationships/chart" Target="../charts/chart78.xml"/><Relationship Id="rId7" Type="http://schemas.openxmlformats.org/officeDocument/2006/relationships/chart" Target="../charts/chart64.xml"/><Relationship Id="rId12" Type="http://schemas.openxmlformats.org/officeDocument/2006/relationships/chart" Target="../charts/chart69.xml"/><Relationship Id="rId17" Type="http://schemas.openxmlformats.org/officeDocument/2006/relationships/chart" Target="../charts/chart74.xml"/><Relationship Id="rId2" Type="http://schemas.openxmlformats.org/officeDocument/2006/relationships/chart" Target="../charts/chart59.xml"/><Relationship Id="rId16" Type="http://schemas.openxmlformats.org/officeDocument/2006/relationships/chart" Target="../charts/chart73.xml"/><Relationship Id="rId20" Type="http://schemas.openxmlformats.org/officeDocument/2006/relationships/chart" Target="../charts/chart77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11" Type="http://schemas.openxmlformats.org/officeDocument/2006/relationships/chart" Target="../charts/chart68.xml"/><Relationship Id="rId5" Type="http://schemas.openxmlformats.org/officeDocument/2006/relationships/chart" Target="../charts/chart62.xml"/><Relationship Id="rId15" Type="http://schemas.openxmlformats.org/officeDocument/2006/relationships/chart" Target="../charts/chart72.xml"/><Relationship Id="rId10" Type="http://schemas.openxmlformats.org/officeDocument/2006/relationships/chart" Target="../charts/chart67.xml"/><Relationship Id="rId19" Type="http://schemas.openxmlformats.org/officeDocument/2006/relationships/chart" Target="../charts/chart76.xml"/><Relationship Id="rId4" Type="http://schemas.openxmlformats.org/officeDocument/2006/relationships/chart" Target="../charts/chart61.xml"/><Relationship Id="rId9" Type="http://schemas.openxmlformats.org/officeDocument/2006/relationships/chart" Target="../charts/chart66.xml"/><Relationship Id="rId14" Type="http://schemas.openxmlformats.org/officeDocument/2006/relationships/chart" Target="../charts/chart71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3" Type="http://schemas.openxmlformats.org/officeDocument/2006/relationships/chart" Target="../charts/chart81.xml"/><Relationship Id="rId7" Type="http://schemas.openxmlformats.org/officeDocument/2006/relationships/chart" Target="../charts/chart85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11" Type="http://schemas.openxmlformats.org/officeDocument/2006/relationships/chart" Target="../charts/chart89.xml"/><Relationship Id="rId5" Type="http://schemas.openxmlformats.org/officeDocument/2006/relationships/chart" Target="../charts/chart83.xml"/><Relationship Id="rId10" Type="http://schemas.openxmlformats.org/officeDocument/2006/relationships/chart" Target="../charts/chart88.xml"/><Relationship Id="rId4" Type="http://schemas.openxmlformats.org/officeDocument/2006/relationships/chart" Target="../charts/chart82.xml"/><Relationship Id="rId9" Type="http://schemas.openxmlformats.org/officeDocument/2006/relationships/chart" Target="../charts/chart8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7.xml"/><Relationship Id="rId13" Type="http://schemas.openxmlformats.org/officeDocument/2006/relationships/chart" Target="../charts/chart102.xml"/><Relationship Id="rId18" Type="http://schemas.openxmlformats.org/officeDocument/2006/relationships/chart" Target="../charts/chart107.xml"/><Relationship Id="rId3" Type="http://schemas.openxmlformats.org/officeDocument/2006/relationships/chart" Target="../charts/chart92.xml"/><Relationship Id="rId21" Type="http://schemas.openxmlformats.org/officeDocument/2006/relationships/chart" Target="../charts/chart110.xml"/><Relationship Id="rId7" Type="http://schemas.openxmlformats.org/officeDocument/2006/relationships/chart" Target="../charts/chart96.xml"/><Relationship Id="rId12" Type="http://schemas.openxmlformats.org/officeDocument/2006/relationships/chart" Target="../charts/chart101.xml"/><Relationship Id="rId17" Type="http://schemas.openxmlformats.org/officeDocument/2006/relationships/chart" Target="../charts/chart106.xml"/><Relationship Id="rId25" Type="http://schemas.openxmlformats.org/officeDocument/2006/relationships/chart" Target="../charts/chart114.xml"/><Relationship Id="rId2" Type="http://schemas.openxmlformats.org/officeDocument/2006/relationships/chart" Target="../charts/chart91.xml"/><Relationship Id="rId16" Type="http://schemas.openxmlformats.org/officeDocument/2006/relationships/chart" Target="../charts/chart105.xml"/><Relationship Id="rId20" Type="http://schemas.openxmlformats.org/officeDocument/2006/relationships/chart" Target="../charts/chart109.xml"/><Relationship Id="rId1" Type="http://schemas.openxmlformats.org/officeDocument/2006/relationships/chart" Target="../charts/chart90.xml"/><Relationship Id="rId6" Type="http://schemas.openxmlformats.org/officeDocument/2006/relationships/chart" Target="../charts/chart95.xml"/><Relationship Id="rId11" Type="http://schemas.openxmlformats.org/officeDocument/2006/relationships/chart" Target="../charts/chart100.xml"/><Relationship Id="rId24" Type="http://schemas.openxmlformats.org/officeDocument/2006/relationships/chart" Target="../charts/chart113.xml"/><Relationship Id="rId5" Type="http://schemas.openxmlformats.org/officeDocument/2006/relationships/chart" Target="../charts/chart94.xml"/><Relationship Id="rId15" Type="http://schemas.openxmlformats.org/officeDocument/2006/relationships/chart" Target="../charts/chart104.xml"/><Relationship Id="rId23" Type="http://schemas.openxmlformats.org/officeDocument/2006/relationships/chart" Target="../charts/chart112.xml"/><Relationship Id="rId10" Type="http://schemas.openxmlformats.org/officeDocument/2006/relationships/chart" Target="../charts/chart99.xml"/><Relationship Id="rId19" Type="http://schemas.openxmlformats.org/officeDocument/2006/relationships/chart" Target="../charts/chart108.xml"/><Relationship Id="rId4" Type="http://schemas.openxmlformats.org/officeDocument/2006/relationships/chart" Target="../charts/chart93.xml"/><Relationship Id="rId9" Type="http://schemas.openxmlformats.org/officeDocument/2006/relationships/chart" Target="../charts/chart98.xml"/><Relationship Id="rId14" Type="http://schemas.openxmlformats.org/officeDocument/2006/relationships/chart" Target="../charts/chart103.xml"/><Relationship Id="rId22" Type="http://schemas.openxmlformats.org/officeDocument/2006/relationships/chart" Target="../charts/chart111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2.xml"/><Relationship Id="rId13" Type="http://schemas.openxmlformats.org/officeDocument/2006/relationships/chart" Target="../charts/chart127.xml"/><Relationship Id="rId18" Type="http://schemas.openxmlformats.org/officeDocument/2006/relationships/chart" Target="../charts/chart132.xml"/><Relationship Id="rId26" Type="http://schemas.openxmlformats.org/officeDocument/2006/relationships/chart" Target="../charts/chart140.xml"/><Relationship Id="rId3" Type="http://schemas.openxmlformats.org/officeDocument/2006/relationships/chart" Target="../charts/chart117.xml"/><Relationship Id="rId21" Type="http://schemas.openxmlformats.org/officeDocument/2006/relationships/chart" Target="../charts/chart135.xml"/><Relationship Id="rId7" Type="http://schemas.openxmlformats.org/officeDocument/2006/relationships/chart" Target="../charts/chart121.xml"/><Relationship Id="rId12" Type="http://schemas.openxmlformats.org/officeDocument/2006/relationships/chart" Target="../charts/chart126.xml"/><Relationship Id="rId17" Type="http://schemas.openxmlformats.org/officeDocument/2006/relationships/chart" Target="../charts/chart131.xml"/><Relationship Id="rId25" Type="http://schemas.openxmlformats.org/officeDocument/2006/relationships/chart" Target="../charts/chart139.xml"/><Relationship Id="rId2" Type="http://schemas.openxmlformats.org/officeDocument/2006/relationships/chart" Target="../charts/chart116.xml"/><Relationship Id="rId16" Type="http://schemas.openxmlformats.org/officeDocument/2006/relationships/chart" Target="../charts/chart130.xml"/><Relationship Id="rId20" Type="http://schemas.openxmlformats.org/officeDocument/2006/relationships/chart" Target="../charts/chart134.xml"/><Relationship Id="rId29" Type="http://schemas.openxmlformats.org/officeDocument/2006/relationships/chart" Target="../charts/chart143.xml"/><Relationship Id="rId1" Type="http://schemas.openxmlformats.org/officeDocument/2006/relationships/chart" Target="../charts/chart115.xml"/><Relationship Id="rId6" Type="http://schemas.openxmlformats.org/officeDocument/2006/relationships/chart" Target="../charts/chart120.xml"/><Relationship Id="rId11" Type="http://schemas.openxmlformats.org/officeDocument/2006/relationships/chart" Target="../charts/chart125.xml"/><Relationship Id="rId24" Type="http://schemas.openxmlformats.org/officeDocument/2006/relationships/chart" Target="../charts/chart138.xml"/><Relationship Id="rId5" Type="http://schemas.openxmlformats.org/officeDocument/2006/relationships/chart" Target="../charts/chart119.xml"/><Relationship Id="rId15" Type="http://schemas.openxmlformats.org/officeDocument/2006/relationships/chart" Target="../charts/chart129.xml"/><Relationship Id="rId23" Type="http://schemas.openxmlformats.org/officeDocument/2006/relationships/chart" Target="../charts/chart137.xml"/><Relationship Id="rId28" Type="http://schemas.openxmlformats.org/officeDocument/2006/relationships/chart" Target="../charts/chart142.xml"/><Relationship Id="rId10" Type="http://schemas.openxmlformats.org/officeDocument/2006/relationships/chart" Target="../charts/chart124.xml"/><Relationship Id="rId19" Type="http://schemas.openxmlformats.org/officeDocument/2006/relationships/chart" Target="../charts/chart133.xml"/><Relationship Id="rId4" Type="http://schemas.openxmlformats.org/officeDocument/2006/relationships/chart" Target="../charts/chart118.xml"/><Relationship Id="rId9" Type="http://schemas.openxmlformats.org/officeDocument/2006/relationships/chart" Target="../charts/chart123.xml"/><Relationship Id="rId14" Type="http://schemas.openxmlformats.org/officeDocument/2006/relationships/chart" Target="../charts/chart128.xml"/><Relationship Id="rId22" Type="http://schemas.openxmlformats.org/officeDocument/2006/relationships/chart" Target="../charts/chart136.xml"/><Relationship Id="rId27" Type="http://schemas.openxmlformats.org/officeDocument/2006/relationships/chart" Target="../charts/chart141.xml"/><Relationship Id="rId30" Type="http://schemas.openxmlformats.org/officeDocument/2006/relationships/chart" Target="../charts/chart1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314325</xdr:colOff>
      <xdr:row>1</xdr:row>
      <xdr:rowOff>66675</xdr:rowOff>
    </xdr:from>
    <xdr:to>
      <xdr:col>20</xdr:col>
      <xdr:colOff>352425</xdr:colOff>
      <xdr:row>24</xdr:row>
      <xdr:rowOff>66675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371475</xdr:colOff>
      <xdr:row>66</xdr:row>
      <xdr:rowOff>76200</xdr:rowOff>
    </xdr:from>
    <xdr:to>
      <xdr:col>19</xdr:col>
      <xdr:colOff>1019175</xdr:colOff>
      <xdr:row>83</xdr:row>
      <xdr:rowOff>66675</xdr:rowOff>
    </xdr:to>
    <xdr:graphicFrame macro="">
      <xdr:nvGraphicFramePr>
        <xdr:cNvPr id="205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809625</xdr:colOff>
      <xdr:row>84</xdr:row>
      <xdr:rowOff>104775</xdr:rowOff>
    </xdr:from>
    <xdr:to>
      <xdr:col>20</xdr:col>
      <xdr:colOff>76200</xdr:colOff>
      <xdr:row>98</xdr:row>
      <xdr:rowOff>142875</xdr:rowOff>
    </xdr:to>
    <xdr:graphicFrame macro="">
      <xdr:nvGraphicFramePr>
        <xdr:cNvPr id="205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276225</xdr:colOff>
      <xdr:row>102</xdr:row>
      <xdr:rowOff>114300</xdr:rowOff>
    </xdr:from>
    <xdr:to>
      <xdr:col>20</xdr:col>
      <xdr:colOff>257175</xdr:colOff>
      <xdr:row>127</xdr:row>
      <xdr:rowOff>123825</xdr:rowOff>
    </xdr:to>
    <xdr:graphicFrame macro="">
      <xdr:nvGraphicFramePr>
        <xdr:cNvPr id="205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85725</xdr:colOff>
      <xdr:row>102</xdr:row>
      <xdr:rowOff>104775</xdr:rowOff>
    </xdr:from>
    <xdr:to>
      <xdr:col>13</xdr:col>
      <xdr:colOff>409575</xdr:colOff>
      <xdr:row>118</xdr:row>
      <xdr:rowOff>142875</xdr:rowOff>
    </xdr:to>
    <xdr:graphicFrame macro="">
      <xdr:nvGraphicFramePr>
        <xdr:cNvPr id="2053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161925</xdr:colOff>
      <xdr:row>128</xdr:row>
      <xdr:rowOff>142875</xdr:rowOff>
    </xdr:from>
    <xdr:to>
      <xdr:col>20</xdr:col>
      <xdr:colOff>838200</xdr:colOff>
      <xdr:row>149</xdr:row>
      <xdr:rowOff>104775</xdr:rowOff>
    </xdr:to>
    <xdr:graphicFrame macro="">
      <xdr:nvGraphicFramePr>
        <xdr:cNvPr id="2054" name="Chart 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238125</xdr:colOff>
      <xdr:row>127</xdr:row>
      <xdr:rowOff>38100</xdr:rowOff>
    </xdr:from>
    <xdr:to>
      <xdr:col>13</xdr:col>
      <xdr:colOff>400050</xdr:colOff>
      <xdr:row>147</xdr:row>
      <xdr:rowOff>76200</xdr:rowOff>
    </xdr:to>
    <xdr:graphicFrame macro="">
      <xdr:nvGraphicFramePr>
        <xdr:cNvPr id="2055" name="Chart 3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114300</xdr:colOff>
      <xdr:row>152</xdr:row>
      <xdr:rowOff>114300</xdr:rowOff>
    </xdr:from>
    <xdr:to>
      <xdr:col>13</xdr:col>
      <xdr:colOff>352425</xdr:colOff>
      <xdr:row>173</xdr:row>
      <xdr:rowOff>142875</xdr:rowOff>
    </xdr:to>
    <xdr:graphicFrame macro="">
      <xdr:nvGraphicFramePr>
        <xdr:cNvPr id="2056" name="Chart 3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180975</xdr:colOff>
      <xdr:row>178</xdr:row>
      <xdr:rowOff>76200</xdr:rowOff>
    </xdr:from>
    <xdr:to>
      <xdr:col>13</xdr:col>
      <xdr:colOff>390525</xdr:colOff>
      <xdr:row>195</xdr:row>
      <xdr:rowOff>47625</xdr:rowOff>
    </xdr:to>
    <xdr:graphicFrame macro="">
      <xdr:nvGraphicFramePr>
        <xdr:cNvPr id="2057" name="Chart 17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304800</xdr:colOff>
      <xdr:row>25</xdr:row>
      <xdr:rowOff>66675</xdr:rowOff>
    </xdr:from>
    <xdr:to>
      <xdr:col>20</xdr:col>
      <xdr:colOff>619125</xdr:colOff>
      <xdr:row>45</xdr:row>
      <xdr:rowOff>123825</xdr:rowOff>
    </xdr:to>
    <xdr:graphicFrame macro="">
      <xdr:nvGraphicFramePr>
        <xdr:cNvPr id="2058" name="Chart 17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219075</xdr:colOff>
      <xdr:row>55</xdr:row>
      <xdr:rowOff>104775</xdr:rowOff>
    </xdr:from>
    <xdr:to>
      <xdr:col>4</xdr:col>
      <xdr:colOff>333375</xdr:colOff>
      <xdr:row>72</xdr:row>
      <xdr:rowOff>114300</xdr:rowOff>
    </xdr:to>
    <xdr:graphicFrame macro="">
      <xdr:nvGraphicFramePr>
        <xdr:cNvPr id="2059" name="Chart 17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314325</xdr:colOff>
      <xdr:row>55</xdr:row>
      <xdr:rowOff>104775</xdr:rowOff>
    </xdr:from>
    <xdr:to>
      <xdr:col>13</xdr:col>
      <xdr:colOff>381000</xdr:colOff>
      <xdr:row>73</xdr:row>
      <xdr:rowOff>114300</xdr:rowOff>
    </xdr:to>
    <xdr:graphicFrame macro="">
      <xdr:nvGraphicFramePr>
        <xdr:cNvPr id="2060" name="Chart 17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161925</xdr:colOff>
      <xdr:row>48</xdr:row>
      <xdr:rowOff>104775</xdr:rowOff>
    </xdr:from>
    <xdr:to>
      <xdr:col>20</xdr:col>
      <xdr:colOff>485775</xdr:colOff>
      <xdr:row>64</xdr:row>
      <xdr:rowOff>142875</xdr:rowOff>
    </xdr:to>
    <xdr:graphicFrame macro="">
      <xdr:nvGraphicFramePr>
        <xdr:cNvPr id="2061" name="Chart 17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219075</xdr:colOff>
      <xdr:row>76</xdr:row>
      <xdr:rowOff>57150</xdr:rowOff>
    </xdr:from>
    <xdr:to>
      <xdr:col>13</xdr:col>
      <xdr:colOff>123825</xdr:colOff>
      <xdr:row>97</xdr:row>
      <xdr:rowOff>123825</xdr:rowOff>
    </xdr:to>
    <xdr:graphicFrame macro="">
      <xdr:nvGraphicFramePr>
        <xdr:cNvPr id="2062" name="Chart 17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161925</xdr:colOff>
      <xdr:row>177</xdr:row>
      <xdr:rowOff>104775</xdr:rowOff>
    </xdr:from>
    <xdr:to>
      <xdr:col>20</xdr:col>
      <xdr:colOff>600075</xdr:colOff>
      <xdr:row>194</xdr:row>
      <xdr:rowOff>161925</xdr:rowOff>
    </xdr:to>
    <xdr:graphicFrame macro="">
      <xdr:nvGraphicFramePr>
        <xdr:cNvPr id="2063" name="Chart 17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161925</xdr:colOff>
      <xdr:row>200</xdr:row>
      <xdr:rowOff>76200</xdr:rowOff>
    </xdr:from>
    <xdr:to>
      <xdr:col>13</xdr:col>
      <xdr:colOff>276225</xdr:colOff>
      <xdr:row>213</xdr:row>
      <xdr:rowOff>57150</xdr:rowOff>
    </xdr:to>
    <xdr:graphicFrame macro="">
      <xdr:nvGraphicFramePr>
        <xdr:cNvPr id="2064" name="Chart 17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190500</xdr:colOff>
      <xdr:row>151</xdr:row>
      <xdr:rowOff>76200</xdr:rowOff>
    </xdr:from>
    <xdr:to>
      <xdr:col>20</xdr:col>
      <xdr:colOff>904875</xdr:colOff>
      <xdr:row>170</xdr:row>
      <xdr:rowOff>9525</xdr:rowOff>
    </xdr:to>
    <xdr:graphicFrame macro="">
      <xdr:nvGraphicFramePr>
        <xdr:cNvPr id="2065" name="Chart 17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0</xdr:colOff>
      <xdr:row>215</xdr:row>
      <xdr:rowOff>19050</xdr:rowOff>
    </xdr:from>
    <xdr:to>
      <xdr:col>13</xdr:col>
      <xdr:colOff>314325</xdr:colOff>
      <xdr:row>228</xdr:row>
      <xdr:rowOff>114300</xdr:rowOff>
    </xdr:to>
    <xdr:graphicFrame macro="">
      <xdr:nvGraphicFramePr>
        <xdr:cNvPr id="2066" name="Chart 17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219075</xdr:colOff>
      <xdr:row>231</xdr:row>
      <xdr:rowOff>200025</xdr:rowOff>
    </xdr:from>
    <xdr:to>
      <xdr:col>13</xdr:col>
      <xdr:colOff>314325</xdr:colOff>
      <xdr:row>244</xdr:row>
      <xdr:rowOff>180975</xdr:rowOff>
    </xdr:to>
    <xdr:graphicFrame macro="">
      <xdr:nvGraphicFramePr>
        <xdr:cNvPr id="2067" name="Chart 17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180975</xdr:colOff>
      <xdr:row>247</xdr:row>
      <xdr:rowOff>19050</xdr:rowOff>
    </xdr:from>
    <xdr:to>
      <xdr:col>13</xdr:col>
      <xdr:colOff>457200</xdr:colOff>
      <xdr:row>260</xdr:row>
      <xdr:rowOff>28575</xdr:rowOff>
    </xdr:to>
    <xdr:graphicFrame macro="">
      <xdr:nvGraphicFramePr>
        <xdr:cNvPr id="2068" name="Chart 17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142875</xdr:colOff>
      <xdr:row>267</xdr:row>
      <xdr:rowOff>95250</xdr:rowOff>
    </xdr:from>
    <xdr:to>
      <xdr:col>13</xdr:col>
      <xdr:colOff>381000</xdr:colOff>
      <xdr:row>279</xdr:row>
      <xdr:rowOff>114300</xdr:rowOff>
    </xdr:to>
    <xdr:graphicFrame macro="">
      <xdr:nvGraphicFramePr>
        <xdr:cNvPr id="2069" name="Chart 17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14</xdr:col>
      <xdr:colOff>57150</xdr:colOff>
      <xdr:row>266</xdr:row>
      <xdr:rowOff>47625</xdr:rowOff>
    </xdr:from>
    <xdr:to>
      <xdr:col>20</xdr:col>
      <xdr:colOff>581025</xdr:colOff>
      <xdr:row>279</xdr:row>
      <xdr:rowOff>38100</xdr:rowOff>
    </xdr:to>
    <xdr:graphicFrame macro="">
      <xdr:nvGraphicFramePr>
        <xdr:cNvPr id="2070" name="Chart 17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14</xdr:col>
      <xdr:colOff>295275</xdr:colOff>
      <xdr:row>199</xdr:row>
      <xdr:rowOff>314325</xdr:rowOff>
    </xdr:from>
    <xdr:to>
      <xdr:col>20</xdr:col>
      <xdr:colOff>619125</xdr:colOff>
      <xdr:row>212</xdr:row>
      <xdr:rowOff>276225</xdr:rowOff>
    </xdr:to>
    <xdr:graphicFrame macro="">
      <xdr:nvGraphicFramePr>
        <xdr:cNvPr id="2071" name="Chart 17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333375</xdr:colOff>
      <xdr:row>282</xdr:row>
      <xdr:rowOff>142875</xdr:rowOff>
    </xdr:from>
    <xdr:to>
      <xdr:col>13</xdr:col>
      <xdr:colOff>361950</xdr:colOff>
      <xdr:row>296</xdr:row>
      <xdr:rowOff>0</xdr:rowOff>
    </xdr:to>
    <xdr:graphicFrame macro="">
      <xdr:nvGraphicFramePr>
        <xdr:cNvPr id="2072" name="Chart 17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6</xdr:col>
      <xdr:colOff>200025</xdr:colOff>
      <xdr:row>299</xdr:row>
      <xdr:rowOff>276225</xdr:rowOff>
    </xdr:from>
    <xdr:to>
      <xdr:col>13</xdr:col>
      <xdr:colOff>400050</xdr:colOff>
      <xdr:row>312</xdr:row>
      <xdr:rowOff>114300</xdr:rowOff>
    </xdr:to>
    <xdr:graphicFrame macro="">
      <xdr:nvGraphicFramePr>
        <xdr:cNvPr id="2073" name="Chart 17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0</xdr:row>
      <xdr:rowOff>28575</xdr:rowOff>
    </xdr:from>
    <xdr:to>
      <xdr:col>17</xdr:col>
      <xdr:colOff>695325</xdr:colOff>
      <xdr:row>10</xdr:row>
      <xdr:rowOff>9525</xdr:rowOff>
    </xdr:to>
    <xdr:graphicFrame macro="">
      <xdr:nvGraphicFramePr>
        <xdr:cNvPr id="157697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123825</xdr:colOff>
      <xdr:row>10</xdr:row>
      <xdr:rowOff>104775</xdr:rowOff>
    </xdr:from>
    <xdr:to>
      <xdr:col>17</xdr:col>
      <xdr:colOff>733425</xdr:colOff>
      <xdr:row>23</xdr:row>
      <xdr:rowOff>0</xdr:rowOff>
    </xdr:to>
    <xdr:graphicFrame macro="">
      <xdr:nvGraphicFramePr>
        <xdr:cNvPr id="157698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180975</xdr:colOff>
      <xdr:row>23</xdr:row>
      <xdr:rowOff>47625</xdr:rowOff>
    </xdr:from>
    <xdr:to>
      <xdr:col>17</xdr:col>
      <xdr:colOff>733425</xdr:colOff>
      <xdr:row>34</xdr:row>
      <xdr:rowOff>152400</xdr:rowOff>
    </xdr:to>
    <xdr:graphicFrame macro="">
      <xdr:nvGraphicFramePr>
        <xdr:cNvPr id="157699" name="Chart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219075</xdr:colOff>
      <xdr:row>36</xdr:row>
      <xdr:rowOff>47625</xdr:rowOff>
    </xdr:from>
    <xdr:to>
      <xdr:col>17</xdr:col>
      <xdr:colOff>695325</xdr:colOff>
      <xdr:row>48</xdr:row>
      <xdr:rowOff>28575</xdr:rowOff>
    </xdr:to>
    <xdr:graphicFrame macro="">
      <xdr:nvGraphicFramePr>
        <xdr:cNvPr id="157700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161925</xdr:colOff>
      <xdr:row>49</xdr:row>
      <xdr:rowOff>0</xdr:rowOff>
    </xdr:from>
    <xdr:to>
      <xdr:col>17</xdr:col>
      <xdr:colOff>571500</xdr:colOff>
      <xdr:row>61</xdr:row>
      <xdr:rowOff>104775</xdr:rowOff>
    </xdr:to>
    <xdr:graphicFrame macro="">
      <xdr:nvGraphicFramePr>
        <xdr:cNvPr id="157701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104775</xdr:colOff>
      <xdr:row>62</xdr:row>
      <xdr:rowOff>104775</xdr:rowOff>
    </xdr:from>
    <xdr:to>
      <xdr:col>17</xdr:col>
      <xdr:colOff>638175</xdr:colOff>
      <xdr:row>72</xdr:row>
      <xdr:rowOff>47625</xdr:rowOff>
    </xdr:to>
    <xdr:graphicFrame macro="">
      <xdr:nvGraphicFramePr>
        <xdr:cNvPr id="157702" name="Chart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219075</xdr:colOff>
      <xdr:row>82</xdr:row>
      <xdr:rowOff>419100</xdr:rowOff>
    </xdr:from>
    <xdr:to>
      <xdr:col>17</xdr:col>
      <xdr:colOff>762000</xdr:colOff>
      <xdr:row>93</xdr:row>
      <xdr:rowOff>104775</xdr:rowOff>
    </xdr:to>
    <xdr:graphicFrame macro="">
      <xdr:nvGraphicFramePr>
        <xdr:cNvPr id="157703" name="Chart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85725</xdr:colOff>
      <xdr:row>94</xdr:row>
      <xdr:rowOff>66675</xdr:rowOff>
    </xdr:from>
    <xdr:to>
      <xdr:col>17</xdr:col>
      <xdr:colOff>619125</xdr:colOff>
      <xdr:row>110</xdr:row>
      <xdr:rowOff>200025</xdr:rowOff>
    </xdr:to>
    <xdr:graphicFrame macro="">
      <xdr:nvGraphicFramePr>
        <xdr:cNvPr id="157704" name="Chart 10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257175</xdr:colOff>
      <xdr:row>122</xdr:row>
      <xdr:rowOff>9525</xdr:rowOff>
    </xdr:from>
    <xdr:to>
      <xdr:col>17</xdr:col>
      <xdr:colOff>647700</xdr:colOff>
      <xdr:row>134</xdr:row>
      <xdr:rowOff>28575</xdr:rowOff>
    </xdr:to>
    <xdr:graphicFrame macro="">
      <xdr:nvGraphicFramePr>
        <xdr:cNvPr id="157705" name="Chart 10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142875</xdr:colOff>
      <xdr:row>134</xdr:row>
      <xdr:rowOff>314325</xdr:rowOff>
    </xdr:from>
    <xdr:to>
      <xdr:col>17</xdr:col>
      <xdr:colOff>542925</xdr:colOff>
      <xdr:row>146</xdr:row>
      <xdr:rowOff>66675</xdr:rowOff>
    </xdr:to>
    <xdr:graphicFrame macro="">
      <xdr:nvGraphicFramePr>
        <xdr:cNvPr id="157706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1</xdr:row>
      <xdr:rowOff>352425</xdr:rowOff>
    </xdr:from>
    <xdr:to>
      <xdr:col>14</xdr:col>
      <xdr:colOff>38100</xdr:colOff>
      <xdr:row>14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609600</xdr:colOff>
      <xdr:row>15</xdr:row>
      <xdr:rowOff>104775</xdr:rowOff>
    </xdr:from>
    <xdr:to>
      <xdr:col>14</xdr:col>
      <xdr:colOff>409575</xdr:colOff>
      <xdr:row>26</xdr:row>
      <xdr:rowOff>152400</xdr:rowOff>
    </xdr:to>
    <xdr:graphicFrame macro="">
      <xdr:nvGraphicFramePr>
        <xdr:cNvPr id="102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428625</xdr:colOff>
      <xdr:row>27</xdr:row>
      <xdr:rowOff>114300</xdr:rowOff>
    </xdr:from>
    <xdr:to>
      <xdr:col>14</xdr:col>
      <xdr:colOff>276225</xdr:colOff>
      <xdr:row>36</xdr:row>
      <xdr:rowOff>238125</xdr:rowOff>
    </xdr:to>
    <xdr:graphicFrame macro="">
      <xdr:nvGraphicFramePr>
        <xdr:cNvPr id="102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647700</xdr:colOff>
      <xdr:row>38</xdr:row>
      <xdr:rowOff>38100</xdr:rowOff>
    </xdr:from>
    <xdr:to>
      <xdr:col>14</xdr:col>
      <xdr:colOff>466725</xdr:colOff>
      <xdr:row>48</xdr:row>
      <xdr:rowOff>409575</xdr:rowOff>
    </xdr:to>
    <xdr:graphicFrame macro="">
      <xdr:nvGraphicFramePr>
        <xdr:cNvPr id="102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314325</xdr:colOff>
      <xdr:row>50</xdr:row>
      <xdr:rowOff>9525</xdr:rowOff>
    </xdr:from>
    <xdr:to>
      <xdr:col>14</xdr:col>
      <xdr:colOff>38100</xdr:colOff>
      <xdr:row>60</xdr:row>
      <xdr:rowOff>485775</xdr:rowOff>
    </xdr:to>
    <xdr:graphicFrame macro="">
      <xdr:nvGraphicFramePr>
        <xdr:cNvPr id="102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428625</xdr:colOff>
      <xdr:row>62</xdr:row>
      <xdr:rowOff>228600</xdr:rowOff>
    </xdr:from>
    <xdr:to>
      <xdr:col>14</xdr:col>
      <xdr:colOff>104775</xdr:colOff>
      <xdr:row>75</xdr:row>
      <xdr:rowOff>0</xdr:rowOff>
    </xdr:to>
    <xdr:graphicFrame macro="">
      <xdr:nvGraphicFramePr>
        <xdr:cNvPr id="103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428625</xdr:colOff>
      <xdr:row>1</xdr:row>
      <xdr:rowOff>28575</xdr:rowOff>
    </xdr:from>
    <xdr:to>
      <xdr:col>30</xdr:col>
      <xdr:colOff>885825</xdr:colOff>
      <xdr:row>10</xdr:row>
      <xdr:rowOff>142875</xdr:rowOff>
    </xdr:to>
    <xdr:graphicFrame macro="">
      <xdr:nvGraphicFramePr>
        <xdr:cNvPr id="1031" name="Chart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466725</xdr:colOff>
      <xdr:row>11</xdr:row>
      <xdr:rowOff>142875</xdr:rowOff>
    </xdr:from>
    <xdr:to>
      <xdr:col>30</xdr:col>
      <xdr:colOff>266700</xdr:colOff>
      <xdr:row>21</xdr:row>
      <xdr:rowOff>76200</xdr:rowOff>
    </xdr:to>
    <xdr:graphicFrame macro="">
      <xdr:nvGraphicFramePr>
        <xdr:cNvPr id="1032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190500</xdr:colOff>
      <xdr:row>22</xdr:row>
      <xdr:rowOff>76200</xdr:rowOff>
    </xdr:from>
    <xdr:to>
      <xdr:col>30</xdr:col>
      <xdr:colOff>0</xdr:colOff>
      <xdr:row>34</xdr:row>
      <xdr:rowOff>0</xdr:rowOff>
    </xdr:to>
    <xdr:graphicFrame macro="">
      <xdr:nvGraphicFramePr>
        <xdr:cNvPr id="1033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390525</xdr:colOff>
      <xdr:row>38</xdr:row>
      <xdr:rowOff>104775</xdr:rowOff>
    </xdr:from>
    <xdr:to>
      <xdr:col>31</xdr:col>
      <xdr:colOff>190500</xdr:colOff>
      <xdr:row>47</xdr:row>
      <xdr:rowOff>28575</xdr:rowOff>
    </xdr:to>
    <xdr:graphicFrame macro="">
      <xdr:nvGraphicFramePr>
        <xdr:cNvPr id="1034" name="Chart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23</xdr:col>
      <xdr:colOff>752475</xdr:colOff>
      <xdr:row>49</xdr:row>
      <xdr:rowOff>66675</xdr:rowOff>
    </xdr:from>
    <xdr:to>
      <xdr:col>30</xdr:col>
      <xdr:colOff>571500</xdr:colOff>
      <xdr:row>60</xdr:row>
      <xdr:rowOff>76200</xdr:rowOff>
    </xdr:to>
    <xdr:graphicFrame macro="">
      <xdr:nvGraphicFramePr>
        <xdr:cNvPr id="1035" name="Chart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23</xdr:col>
      <xdr:colOff>85725</xdr:colOff>
      <xdr:row>62</xdr:row>
      <xdr:rowOff>200025</xdr:rowOff>
    </xdr:from>
    <xdr:to>
      <xdr:col>27</xdr:col>
      <xdr:colOff>219075</xdr:colOff>
      <xdr:row>67</xdr:row>
      <xdr:rowOff>142875</xdr:rowOff>
    </xdr:to>
    <xdr:graphicFrame macro="">
      <xdr:nvGraphicFramePr>
        <xdr:cNvPr id="1036" name="Chart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33</xdr:col>
      <xdr:colOff>219075</xdr:colOff>
      <xdr:row>13</xdr:row>
      <xdr:rowOff>0</xdr:rowOff>
    </xdr:from>
    <xdr:to>
      <xdr:col>41</xdr:col>
      <xdr:colOff>123825</xdr:colOff>
      <xdr:row>22</xdr:row>
      <xdr:rowOff>47625</xdr:rowOff>
    </xdr:to>
    <xdr:graphicFrame macro="">
      <xdr:nvGraphicFramePr>
        <xdr:cNvPr id="1037" name="Chart 2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33</xdr:col>
      <xdr:colOff>219075</xdr:colOff>
      <xdr:row>26</xdr:row>
      <xdr:rowOff>28575</xdr:rowOff>
    </xdr:from>
    <xdr:to>
      <xdr:col>41</xdr:col>
      <xdr:colOff>104775</xdr:colOff>
      <xdr:row>36</xdr:row>
      <xdr:rowOff>47625</xdr:rowOff>
    </xdr:to>
    <xdr:graphicFrame macro="">
      <xdr:nvGraphicFramePr>
        <xdr:cNvPr id="1038" name="Chart 2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33</xdr:col>
      <xdr:colOff>123825</xdr:colOff>
      <xdr:row>37</xdr:row>
      <xdr:rowOff>104775</xdr:rowOff>
    </xdr:from>
    <xdr:to>
      <xdr:col>40</xdr:col>
      <xdr:colOff>142875</xdr:colOff>
      <xdr:row>48</xdr:row>
      <xdr:rowOff>371475</xdr:rowOff>
    </xdr:to>
    <xdr:graphicFrame macro="">
      <xdr:nvGraphicFramePr>
        <xdr:cNvPr id="1039" name="Chart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33</xdr:col>
      <xdr:colOff>161925</xdr:colOff>
      <xdr:row>49</xdr:row>
      <xdr:rowOff>38100</xdr:rowOff>
    </xdr:from>
    <xdr:to>
      <xdr:col>40</xdr:col>
      <xdr:colOff>228600</xdr:colOff>
      <xdr:row>61</xdr:row>
      <xdr:rowOff>76200</xdr:rowOff>
    </xdr:to>
    <xdr:graphicFrame macro="">
      <xdr:nvGraphicFramePr>
        <xdr:cNvPr id="1040" name="Chart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33</xdr:col>
      <xdr:colOff>142875</xdr:colOff>
      <xdr:row>1</xdr:row>
      <xdr:rowOff>28575</xdr:rowOff>
    </xdr:from>
    <xdr:to>
      <xdr:col>41</xdr:col>
      <xdr:colOff>304800</xdr:colOff>
      <xdr:row>12</xdr:row>
      <xdr:rowOff>104775</xdr:rowOff>
    </xdr:to>
    <xdr:graphicFrame macro="">
      <xdr:nvGraphicFramePr>
        <xdr:cNvPr id="1041" name="Chart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42</xdr:col>
      <xdr:colOff>352425</xdr:colOff>
      <xdr:row>0</xdr:row>
      <xdr:rowOff>104775</xdr:rowOff>
    </xdr:from>
    <xdr:to>
      <xdr:col>48</xdr:col>
      <xdr:colOff>847725</xdr:colOff>
      <xdr:row>9</xdr:row>
      <xdr:rowOff>238125</xdr:rowOff>
    </xdr:to>
    <xdr:graphicFrame macro="">
      <xdr:nvGraphicFramePr>
        <xdr:cNvPr id="1042" name="Chart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219075</xdr:colOff>
      <xdr:row>80</xdr:row>
      <xdr:rowOff>0</xdr:rowOff>
    </xdr:from>
    <xdr:to>
      <xdr:col>31</xdr:col>
      <xdr:colOff>542925</xdr:colOff>
      <xdr:row>94</xdr:row>
      <xdr:rowOff>38100</xdr:rowOff>
    </xdr:to>
    <xdr:graphicFrame macro="">
      <xdr:nvGraphicFramePr>
        <xdr:cNvPr id="1043" name="Chart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42</xdr:col>
      <xdr:colOff>390525</xdr:colOff>
      <xdr:row>9</xdr:row>
      <xdr:rowOff>352425</xdr:rowOff>
    </xdr:from>
    <xdr:to>
      <xdr:col>48</xdr:col>
      <xdr:colOff>180975</xdr:colOff>
      <xdr:row>18</xdr:row>
      <xdr:rowOff>152400</xdr:rowOff>
    </xdr:to>
    <xdr:graphicFrame macro="">
      <xdr:nvGraphicFramePr>
        <xdr:cNvPr id="1044" name="Chart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23</xdr:col>
      <xdr:colOff>304800</xdr:colOff>
      <xdr:row>68</xdr:row>
      <xdr:rowOff>9525</xdr:rowOff>
    </xdr:from>
    <xdr:to>
      <xdr:col>31</xdr:col>
      <xdr:colOff>847725</xdr:colOff>
      <xdr:row>77</xdr:row>
      <xdr:rowOff>152400</xdr:rowOff>
    </xdr:to>
    <xdr:graphicFrame macro="">
      <xdr:nvGraphicFramePr>
        <xdr:cNvPr id="1045" name="Chart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42</xdr:col>
      <xdr:colOff>190500</xdr:colOff>
      <xdr:row>20</xdr:row>
      <xdr:rowOff>104775</xdr:rowOff>
    </xdr:from>
    <xdr:to>
      <xdr:col>49</xdr:col>
      <xdr:colOff>409575</xdr:colOff>
      <xdr:row>36</xdr:row>
      <xdr:rowOff>47625</xdr:rowOff>
    </xdr:to>
    <xdr:graphicFrame macro="">
      <xdr:nvGraphicFramePr>
        <xdr:cNvPr id="1046" name="Chart 2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42</xdr:col>
      <xdr:colOff>38100</xdr:colOff>
      <xdr:row>48</xdr:row>
      <xdr:rowOff>104775</xdr:rowOff>
    </xdr:from>
    <xdr:to>
      <xdr:col>47</xdr:col>
      <xdr:colOff>638175</xdr:colOff>
      <xdr:row>60</xdr:row>
      <xdr:rowOff>295275</xdr:rowOff>
    </xdr:to>
    <xdr:graphicFrame macro="">
      <xdr:nvGraphicFramePr>
        <xdr:cNvPr id="1047" name="Chart 3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42</xdr:col>
      <xdr:colOff>219075</xdr:colOff>
      <xdr:row>76</xdr:row>
      <xdr:rowOff>9525</xdr:rowOff>
    </xdr:from>
    <xdr:to>
      <xdr:col>49</xdr:col>
      <xdr:colOff>485775</xdr:colOff>
      <xdr:row>84</xdr:row>
      <xdr:rowOff>38100</xdr:rowOff>
    </xdr:to>
    <xdr:graphicFrame macro="">
      <xdr:nvGraphicFramePr>
        <xdr:cNvPr id="1048" name="Chart 3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32</xdr:col>
      <xdr:colOff>314325</xdr:colOff>
      <xdr:row>76</xdr:row>
      <xdr:rowOff>9525</xdr:rowOff>
    </xdr:from>
    <xdr:to>
      <xdr:col>39</xdr:col>
      <xdr:colOff>838200</xdr:colOff>
      <xdr:row>83</xdr:row>
      <xdr:rowOff>142875</xdr:rowOff>
    </xdr:to>
    <xdr:graphicFrame macro="">
      <xdr:nvGraphicFramePr>
        <xdr:cNvPr id="1049" name="Chart 3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12</xdr:col>
      <xdr:colOff>647700</xdr:colOff>
      <xdr:row>112</xdr:row>
      <xdr:rowOff>66675</xdr:rowOff>
    </xdr:from>
    <xdr:to>
      <xdr:col>19</xdr:col>
      <xdr:colOff>638175</xdr:colOff>
      <xdr:row>127</xdr:row>
      <xdr:rowOff>142875</xdr:rowOff>
    </xdr:to>
    <xdr:graphicFrame macro="">
      <xdr:nvGraphicFramePr>
        <xdr:cNvPr id="1050" name="Chart 6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8</xdr:col>
      <xdr:colOff>123825</xdr:colOff>
      <xdr:row>113</xdr:row>
      <xdr:rowOff>38100</xdr:rowOff>
    </xdr:from>
    <xdr:to>
      <xdr:col>12</xdr:col>
      <xdr:colOff>428625</xdr:colOff>
      <xdr:row>123</xdr:row>
      <xdr:rowOff>85725</xdr:rowOff>
    </xdr:to>
    <xdr:graphicFrame macro="">
      <xdr:nvGraphicFramePr>
        <xdr:cNvPr id="1051" name="Chart 6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50</xdr:col>
      <xdr:colOff>219075</xdr:colOff>
      <xdr:row>38</xdr:row>
      <xdr:rowOff>76200</xdr:rowOff>
    </xdr:from>
    <xdr:to>
      <xdr:col>57</xdr:col>
      <xdr:colOff>876300</xdr:colOff>
      <xdr:row>50</xdr:row>
      <xdr:rowOff>76200</xdr:rowOff>
    </xdr:to>
    <xdr:graphicFrame macro="">
      <xdr:nvGraphicFramePr>
        <xdr:cNvPr id="1052" name="Chart 6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40</xdr:col>
      <xdr:colOff>638175</xdr:colOff>
      <xdr:row>81</xdr:row>
      <xdr:rowOff>28575</xdr:rowOff>
    </xdr:from>
    <xdr:to>
      <xdr:col>49</xdr:col>
      <xdr:colOff>571500</xdr:colOff>
      <xdr:row>94</xdr:row>
      <xdr:rowOff>38100</xdr:rowOff>
    </xdr:to>
    <xdr:graphicFrame macro="">
      <xdr:nvGraphicFramePr>
        <xdr:cNvPr id="1053" name="Chart 6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49</xdr:col>
      <xdr:colOff>771525</xdr:colOff>
      <xdr:row>80</xdr:row>
      <xdr:rowOff>295275</xdr:rowOff>
    </xdr:from>
    <xdr:to>
      <xdr:col>56</xdr:col>
      <xdr:colOff>371475</xdr:colOff>
      <xdr:row>95</xdr:row>
      <xdr:rowOff>114300</xdr:rowOff>
    </xdr:to>
    <xdr:graphicFrame macro="">
      <xdr:nvGraphicFramePr>
        <xdr:cNvPr id="1054" name="Chart 6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57</xdr:col>
      <xdr:colOff>38100</xdr:colOff>
      <xdr:row>80</xdr:row>
      <xdr:rowOff>266700</xdr:rowOff>
    </xdr:from>
    <xdr:to>
      <xdr:col>65</xdr:col>
      <xdr:colOff>190500</xdr:colOff>
      <xdr:row>95</xdr:row>
      <xdr:rowOff>104775</xdr:rowOff>
    </xdr:to>
    <xdr:graphicFrame macro="">
      <xdr:nvGraphicFramePr>
        <xdr:cNvPr id="1055" name="Chart 7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44</xdr:col>
      <xdr:colOff>257175</xdr:colOff>
      <xdr:row>122</xdr:row>
      <xdr:rowOff>9525</xdr:rowOff>
    </xdr:from>
    <xdr:to>
      <xdr:col>49</xdr:col>
      <xdr:colOff>1143000</xdr:colOff>
      <xdr:row>137</xdr:row>
      <xdr:rowOff>38100</xdr:rowOff>
    </xdr:to>
    <xdr:graphicFrame macro="">
      <xdr:nvGraphicFramePr>
        <xdr:cNvPr id="1056" name="Chart 7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51</xdr:col>
      <xdr:colOff>47625</xdr:colOff>
      <xdr:row>121</xdr:row>
      <xdr:rowOff>142875</xdr:rowOff>
    </xdr:from>
    <xdr:to>
      <xdr:col>62</xdr:col>
      <xdr:colOff>647700</xdr:colOff>
      <xdr:row>139</xdr:row>
      <xdr:rowOff>0</xdr:rowOff>
    </xdr:to>
    <xdr:graphicFrame macro="">
      <xdr:nvGraphicFramePr>
        <xdr:cNvPr id="1057" name="Chart 7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8</xdr:col>
      <xdr:colOff>257175</xdr:colOff>
      <xdr:row>143</xdr:row>
      <xdr:rowOff>38100</xdr:rowOff>
    </xdr:from>
    <xdr:to>
      <xdr:col>15</xdr:col>
      <xdr:colOff>219075</xdr:colOff>
      <xdr:row>158</xdr:row>
      <xdr:rowOff>76200</xdr:rowOff>
    </xdr:to>
    <xdr:graphicFrame macro="">
      <xdr:nvGraphicFramePr>
        <xdr:cNvPr id="1058" name="Chart 7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15</xdr:col>
      <xdr:colOff>276225</xdr:colOff>
      <xdr:row>143</xdr:row>
      <xdr:rowOff>66675</xdr:rowOff>
    </xdr:from>
    <xdr:to>
      <xdr:col>20</xdr:col>
      <xdr:colOff>304800</xdr:colOff>
      <xdr:row>158</xdr:row>
      <xdr:rowOff>76200</xdr:rowOff>
    </xdr:to>
    <xdr:graphicFrame macro="">
      <xdr:nvGraphicFramePr>
        <xdr:cNvPr id="1059" name="Chart 7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25</xdr:col>
      <xdr:colOff>428625</xdr:colOff>
      <xdr:row>143</xdr:row>
      <xdr:rowOff>104775</xdr:rowOff>
    </xdr:from>
    <xdr:to>
      <xdr:col>32</xdr:col>
      <xdr:colOff>390525</xdr:colOff>
      <xdr:row>158</xdr:row>
      <xdr:rowOff>142875</xdr:rowOff>
    </xdr:to>
    <xdr:graphicFrame macro="">
      <xdr:nvGraphicFramePr>
        <xdr:cNvPr id="1060" name="Chart 7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32</xdr:col>
      <xdr:colOff>542925</xdr:colOff>
      <xdr:row>143</xdr:row>
      <xdr:rowOff>104775</xdr:rowOff>
    </xdr:from>
    <xdr:to>
      <xdr:col>39</xdr:col>
      <xdr:colOff>523875</xdr:colOff>
      <xdr:row>158</xdr:row>
      <xdr:rowOff>142875</xdr:rowOff>
    </xdr:to>
    <xdr:graphicFrame macro="">
      <xdr:nvGraphicFramePr>
        <xdr:cNvPr id="1061" name="Chart 7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50</xdr:col>
      <xdr:colOff>190500</xdr:colOff>
      <xdr:row>62</xdr:row>
      <xdr:rowOff>66675</xdr:rowOff>
    </xdr:from>
    <xdr:to>
      <xdr:col>56</xdr:col>
      <xdr:colOff>714375</xdr:colOff>
      <xdr:row>70</xdr:row>
      <xdr:rowOff>123825</xdr:rowOff>
    </xdr:to>
    <xdr:graphicFrame macro="">
      <xdr:nvGraphicFramePr>
        <xdr:cNvPr id="1062" name="Chart 12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60</xdr:col>
      <xdr:colOff>676275</xdr:colOff>
      <xdr:row>108</xdr:row>
      <xdr:rowOff>9525</xdr:rowOff>
    </xdr:from>
    <xdr:to>
      <xdr:col>67</xdr:col>
      <xdr:colOff>714375</xdr:colOff>
      <xdr:row>117</xdr:row>
      <xdr:rowOff>114300</xdr:rowOff>
    </xdr:to>
    <xdr:graphicFrame macro="">
      <xdr:nvGraphicFramePr>
        <xdr:cNvPr id="1063" name="Chart 12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60</xdr:col>
      <xdr:colOff>419100</xdr:colOff>
      <xdr:row>97</xdr:row>
      <xdr:rowOff>38100</xdr:rowOff>
    </xdr:from>
    <xdr:to>
      <xdr:col>67</xdr:col>
      <xdr:colOff>161925</xdr:colOff>
      <xdr:row>106</xdr:row>
      <xdr:rowOff>28575</xdr:rowOff>
    </xdr:to>
    <xdr:graphicFrame macro="">
      <xdr:nvGraphicFramePr>
        <xdr:cNvPr id="1064" name="Chart 12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63</xdr:col>
      <xdr:colOff>733425</xdr:colOff>
      <xdr:row>121</xdr:row>
      <xdr:rowOff>114300</xdr:rowOff>
    </xdr:from>
    <xdr:to>
      <xdr:col>70</xdr:col>
      <xdr:colOff>533400</xdr:colOff>
      <xdr:row>133</xdr:row>
      <xdr:rowOff>0</xdr:rowOff>
    </xdr:to>
    <xdr:graphicFrame macro="">
      <xdr:nvGraphicFramePr>
        <xdr:cNvPr id="1065" name="Chart 12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58</xdr:col>
      <xdr:colOff>0</xdr:colOff>
      <xdr:row>38</xdr:row>
      <xdr:rowOff>28575</xdr:rowOff>
    </xdr:from>
    <xdr:to>
      <xdr:col>65</xdr:col>
      <xdr:colOff>180975</xdr:colOff>
      <xdr:row>48</xdr:row>
      <xdr:rowOff>447675</xdr:rowOff>
    </xdr:to>
    <xdr:graphicFrame macro="">
      <xdr:nvGraphicFramePr>
        <xdr:cNvPr id="106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oneCellAnchor>
    <xdr:from>
      <xdr:col>54</xdr:col>
      <xdr:colOff>393700</xdr:colOff>
      <xdr:row>38</xdr:row>
      <xdr:rowOff>431800</xdr:rowOff>
    </xdr:from>
    <xdr:ext cx="197046" cy="249862"/>
    <xdr:sp macro="" textlink="">
      <xdr:nvSpPr>
        <xdr:cNvPr id="9" name="TextBox 8"/>
        <xdr:cNvSpPr txBox="1"/>
      </xdr:nvSpPr>
      <xdr:spPr>
        <a:xfrm>
          <a:off x="40474900" y="1005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7</xdr:row>
      <xdr:rowOff>66675</xdr:rowOff>
    </xdr:from>
    <xdr:to>
      <xdr:col>11</xdr:col>
      <xdr:colOff>1066800</xdr:colOff>
      <xdr:row>13</xdr:row>
      <xdr:rowOff>238125</xdr:rowOff>
    </xdr:to>
    <xdr:graphicFrame macro="">
      <xdr:nvGraphicFramePr>
        <xdr:cNvPr id="21196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123825</xdr:colOff>
      <xdr:row>21</xdr:row>
      <xdr:rowOff>76200</xdr:rowOff>
    </xdr:from>
    <xdr:to>
      <xdr:col>12</xdr:col>
      <xdr:colOff>923925</xdr:colOff>
      <xdr:row>33</xdr:row>
      <xdr:rowOff>38100</xdr:rowOff>
    </xdr:to>
    <xdr:graphicFrame macro="">
      <xdr:nvGraphicFramePr>
        <xdr:cNvPr id="21197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123825</xdr:colOff>
      <xdr:row>41</xdr:row>
      <xdr:rowOff>76200</xdr:rowOff>
    </xdr:from>
    <xdr:to>
      <xdr:col>12</xdr:col>
      <xdr:colOff>923925</xdr:colOff>
      <xdr:row>51</xdr:row>
      <xdr:rowOff>0</xdr:rowOff>
    </xdr:to>
    <xdr:graphicFrame macro="">
      <xdr:nvGraphicFramePr>
        <xdr:cNvPr id="21197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87</xdr:row>
      <xdr:rowOff>85725</xdr:rowOff>
    </xdr:from>
    <xdr:to>
      <xdr:col>9</xdr:col>
      <xdr:colOff>752475</xdr:colOff>
      <xdr:row>101</xdr:row>
      <xdr:rowOff>152400</xdr:rowOff>
    </xdr:to>
    <xdr:graphicFrame macro="">
      <xdr:nvGraphicFramePr>
        <xdr:cNvPr id="21197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276225</xdr:colOff>
      <xdr:row>104</xdr:row>
      <xdr:rowOff>28575</xdr:rowOff>
    </xdr:from>
    <xdr:to>
      <xdr:col>9</xdr:col>
      <xdr:colOff>800100</xdr:colOff>
      <xdr:row>119</xdr:row>
      <xdr:rowOff>47625</xdr:rowOff>
    </xdr:to>
    <xdr:graphicFrame macro="">
      <xdr:nvGraphicFramePr>
        <xdr:cNvPr id="21197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0</xdr:row>
      <xdr:rowOff>104775</xdr:rowOff>
    </xdr:from>
    <xdr:to>
      <xdr:col>13</xdr:col>
      <xdr:colOff>371475</xdr:colOff>
      <xdr:row>16</xdr:row>
      <xdr:rowOff>9525</xdr:rowOff>
    </xdr:to>
    <xdr:graphicFrame macro="">
      <xdr:nvGraphicFramePr>
        <xdr:cNvPr id="2181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219075</xdr:colOff>
      <xdr:row>16</xdr:row>
      <xdr:rowOff>142875</xdr:rowOff>
    </xdr:from>
    <xdr:to>
      <xdr:col>13</xdr:col>
      <xdr:colOff>352425</xdr:colOff>
      <xdr:row>28</xdr:row>
      <xdr:rowOff>38100</xdr:rowOff>
    </xdr:to>
    <xdr:graphicFrame macro="">
      <xdr:nvGraphicFramePr>
        <xdr:cNvPr id="21811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276225</xdr:colOff>
      <xdr:row>28</xdr:row>
      <xdr:rowOff>114300</xdr:rowOff>
    </xdr:from>
    <xdr:to>
      <xdr:col>13</xdr:col>
      <xdr:colOff>685800</xdr:colOff>
      <xdr:row>41</xdr:row>
      <xdr:rowOff>142875</xdr:rowOff>
    </xdr:to>
    <xdr:graphicFrame macro="">
      <xdr:nvGraphicFramePr>
        <xdr:cNvPr id="21811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533400</xdr:colOff>
      <xdr:row>43</xdr:row>
      <xdr:rowOff>66675</xdr:rowOff>
    </xdr:from>
    <xdr:to>
      <xdr:col>13</xdr:col>
      <xdr:colOff>581025</xdr:colOff>
      <xdr:row>55</xdr:row>
      <xdr:rowOff>123825</xdr:rowOff>
    </xdr:to>
    <xdr:graphicFrame macro="">
      <xdr:nvGraphicFramePr>
        <xdr:cNvPr id="21811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714375</xdr:colOff>
      <xdr:row>69</xdr:row>
      <xdr:rowOff>238125</xdr:rowOff>
    </xdr:from>
    <xdr:to>
      <xdr:col>13</xdr:col>
      <xdr:colOff>752475</xdr:colOff>
      <xdr:row>80</xdr:row>
      <xdr:rowOff>104775</xdr:rowOff>
    </xdr:to>
    <xdr:graphicFrame macro="">
      <xdr:nvGraphicFramePr>
        <xdr:cNvPr id="21811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142875</xdr:colOff>
      <xdr:row>119</xdr:row>
      <xdr:rowOff>142875</xdr:rowOff>
    </xdr:from>
    <xdr:to>
      <xdr:col>23</xdr:col>
      <xdr:colOff>304800</xdr:colOff>
      <xdr:row>136</xdr:row>
      <xdr:rowOff>28575</xdr:rowOff>
    </xdr:to>
    <xdr:graphicFrame macro="">
      <xdr:nvGraphicFramePr>
        <xdr:cNvPr id="218118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47625</xdr:colOff>
      <xdr:row>121</xdr:row>
      <xdr:rowOff>38100</xdr:rowOff>
    </xdr:from>
    <xdr:to>
      <xdr:col>13</xdr:col>
      <xdr:colOff>923925</xdr:colOff>
      <xdr:row>136</xdr:row>
      <xdr:rowOff>66675</xdr:rowOff>
    </xdr:to>
    <xdr:graphicFrame macro="">
      <xdr:nvGraphicFramePr>
        <xdr:cNvPr id="21811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714375</xdr:colOff>
      <xdr:row>95</xdr:row>
      <xdr:rowOff>142875</xdr:rowOff>
    </xdr:from>
    <xdr:to>
      <xdr:col>13</xdr:col>
      <xdr:colOff>714375</xdr:colOff>
      <xdr:row>107</xdr:row>
      <xdr:rowOff>152400</xdr:rowOff>
    </xdr:to>
    <xdr:graphicFrame macro="">
      <xdr:nvGraphicFramePr>
        <xdr:cNvPr id="21812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153</xdr:row>
      <xdr:rowOff>104775</xdr:rowOff>
    </xdr:from>
    <xdr:to>
      <xdr:col>13</xdr:col>
      <xdr:colOff>695325</xdr:colOff>
      <xdr:row>163</xdr:row>
      <xdr:rowOff>66675</xdr:rowOff>
    </xdr:to>
    <xdr:graphicFrame macro="">
      <xdr:nvGraphicFramePr>
        <xdr:cNvPr id="218121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304800</xdr:colOff>
      <xdr:row>167</xdr:row>
      <xdr:rowOff>66675</xdr:rowOff>
    </xdr:from>
    <xdr:to>
      <xdr:col>14</xdr:col>
      <xdr:colOff>485775</xdr:colOff>
      <xdr:row>182</xdr:row>
      <xdr:rowOff>0</xdr:rowOff>
    </xdr:to>
    <xdr:graphicFrame macro="">
      <xdr:nvGraphicFramePr>
        <xdr:cNvPr id="218122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276225</xdr:colOff>
      <xdr:row>182</xdr:row>
      <xdr:rowOff>104775</xdr:rowOff>
    </xdr:from>
    <xdr:to>
      <xdr:col>14</xdr:col>
      <xdr:colOff>495300</xdr:colOff>
      <xdr:row>199</xdr:row>
      <xdr:rowOff>104775</xdr:rowOff>
    </xdr:to>
    <xdr:graphicFrame macro="">
      <xdr:nvGraphicFramePr>
        <xdr:cNvPr id="21812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276225</xdr:colOff>
      <xdr:row>217</xdr:row>
      <xdr:rowOff>114300</xdr:rowOff>
    </xdr:from>
    <xdr:to>
      <xdr:col>14</xdr:col>
      <xdr:colOff>38100</xdr:colOff>
      <xdr:row>229</xdr:row>
      <xdr:rowOff>228600</xdr:rowOff>
    </xdr:to>
    <xdr:graphicFrame macro="">
      <xdr:nvGraphicFramePr>
        <xdr:cNvPr id="218124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219075</xdr:colOff>
      <xdr:row>240</xdr:row>
      <xdr:rowOff>142875</xdr:rowOff>
    </xdr:from>
    <xdr:to>
      <xdr:col>14</xdr:col>
      <xdr:colOff>447675</xdr:colOff>
      <xdr:row>258</xdr:row>
      <xdr:rowOff>0</xdr:rowOff>
    </xdr:to>
    <xdr:graphicFrame macro="">
      <xdr:nvGraphicFramePr>
        <xdr:cNvPr id="218125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276225</xdr:colOff>
      <xdr:row>240</xdr:row>
      <xdr:rowOff>38100</xdr:rowOff>
    </xdr:from>
    <xdr:to>
      <xdr:col>23</xdr:col>
      <xdr:colOff>838200</xdr:colOff>
      <xdr:row>257</xdr:row>
      <xdr:rowOff>114300</xdr:rowOff>
    </xdr:to>
    <xdr:graphicFrame macro="">
      <xdr:nvGraphicFramePr>
        <xdr:cNvPr id="218126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771525</xdr:colOff>
      <xdr:row>277</xdr:row>
      <xdr:rowOff>152400</xdr:rowOff>
    </xdr:from>
    <xdr:to>
      <xdr:col>13</xdr:col>
      <xdr:colOff>485775</xdr:colOff>
      <xdr:row>286</xdr:row>
      <xdr:rowOff>142875</xdr:rowOff>
    </xdr:to>
    <xdr:graphicFrame macro="">
      <xdr:nvGraphicFramePr>
        <xdr:cNvPr id="2181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304800</xdr:colOff>
      <xdr:row>306</xdr:row>
      <xdr:rowOff>152400</xdr:rowOff>
    </xdr:from>
    <xdr:to>
      <xdr:col>14</xdr:col>
      <xdr:colOff>142875</xdr:colOff>
      <xdr:row>321</xdr:row>
      <xdr:rowOff>123825</xdr:rowOff>
    </xdr:to>
    <xdr:graphicFrame macro="">
      <xdr:nvGraphicFramePr>
        <xdr:cNvPr id="218128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381000</xdr:colOff>
      <xdr:row>290</xdr:row>
      <xdr:rowOff>9525</xdr:rowOff>
    </xdr:from>
    <xdr:to>
      <xdr:col>14</xdr:col>
      <xdr:colOff>180975</xdr:colOff>
      <xdr:row>304</xdr:row>
      <xdr:rowOff>104775</xdr:rowOff>
    </xdr:to>
    <xdr:graphicFrame macro="">
      <xdr:nvGraphicFramePr>
        <xdr:cNvPr id="218129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457200</xdr:colOff>
      <xdr:row>56</xdr:row>
      <xdr:rowOff>190500</xdr:rowOff>
    </xdr:from>
    <xdr:to>
      <xdr:col>13</xdr:col>
      <xdr:colOff>485775</xdr:colOff>
      <xdr:row>69</xdr:row>
      <xdr:rowOff>76200</xdr:rowOff>
    </xdr:to>
    <xdr:graphicFrame macro="">
      <xdr:nvGraphicFramePr>
        <xdr:cNvPr id="218130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25</xdr:col>
      <xdr:colOff>371475</xdr:colOff>
      <xdr:row>56</xdr:row>
      <xdr:rowOff>104775</xdr:rowOff>
    </xdr:from>
    <xdr:to>
      <xdr:col>32</xdr:col>
      <xdr:colOff>619125</xdr:colOff>
      <xdr:row>69</xdr:row>
      <xdr:rowOff>152400</xdr:rowOff>
    </xdr:to>
    <xdr:graphicFrame macro="">
      <xdr:nvGraphicFramePr>
        <xdr:cNvPr id="218131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25</xdr:col>
      <xdr:colOff>219075</xdr:colOff>
      <xdr:row>69</xdr:row>
      <xdr:rowOff>276225</xdr:rowOff>
    </xdr:from>
    <xdr:to>
      <xdr:col>32</xdr:col>
      <xdr:colOff>457200</xdr:colOff>
      <xdr:row>81</xdr:row>
      <xdr:rowOff>38100</xdr:rowOff>
    </xdr:to>
    <xdr:graphicFrame macro="">
      <xdr:nvGraphicFramePr>
        <xdr:cNvPr id="218132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581025</xdr:colOff>
      <xdr:row>82</xdr:row>
      <xdr:rowOff>76200</xdr:rowOff>
    </xdr:from>
    <xdr:to>
      <xdr:col>13</xdr:col>
      <xdr:colOff>571500</xdr:colOff>
      <xdr:row>94</xdr:row>
      <xdr:rowOff>104775</xdr:rowOff>
    </xdr:to>
    <xdr:graphicFrame macro="">
      <xdr:nvGraphicFramePr>
        <xdr:cNvPr id="218133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25</xdr:col>
      <xdr:colOff>352425</xdr:colOff>
      <xdr:row>82</xdr:row>
      <xdr:rowOff>352425</xdr:rowOff>
    </xdr:from>
    <xdr:to>
      <xdr:col>32</xdr:col>
      <xdr:colOff>657225</xdr:colOff>
      <xdr:row>93</xdr:row>
      <xdr:rowOff>390525</xdr:rowOff>
    </xdr:to>
    <xdr:graphicFrame macro="">
      <xdr:nvGraphicFramePr>
        <xdr:cNvPr id="218134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25</xdr:col>
      <xdr:colOff>276225</xdr:colOff>
      <xdr:row>98</xdr:row>
      <xdr:rowOff>0</xdr:rowOff>
    </xdr:from>
    <xdr:to>
      <xdr:col>32</xdr:col>
      <xdr:colOff>723900</xdr:colOff>
      <xdr:row>108</xdr:row>
      <xdr:rowOff>28575</xdr:rowOff>
    </xdr:to>
    <xdr:graphicFrame macro="">
      <xdr:nvGraphicFramePr>
        <xdr:cNvPr id="218135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</xdr:col>
      <xdr:colOff>838200</xdr:colOff>
      <xdr:row>138</xdr:row>
      <xdr:rowOff>142875</xdr:rowOff>
    </xdr:from>
    <xdr:to>
      <xdr:col>13</xdr:col>
      <xdr:colOff>952500</xdr:colOff>
      <xdr:row>152</xdr:row>
      <xdr:rowOff>28575</xdr:rowOff>
    </xdr:to>
    <xdr:graphicFrame macro="">
      <xdr:nvGraphicFramePr>
        <xdr:cNvPr id="218136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25</xdr:col>
      <xdr:colOff>219075</xdr:colOff>
      <xdr:row>144</xdr:row>
      <xdr:rowOff>28575</xdr:rowOff>
    </xdr:from>
    <xdr:to>
      <xdr:col>32</xdr:col>
      <xdr:colOff>714375</xdr:colOff>
      <xdr:row>156</xdr:row>
      <xdr:rowOff>123825</xdr:rowOff>
    </xdr:to>
    <xdr:graphicFrame macro="">
      <xdr:nvGraphicFramePr>
        <xdr:cNvPr id="218137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25</xdr:col>
      <xdr:colOff>219075</xdr:colOff>
      <xdr:row>165</xdr:row>
      <xdr:rowOff>190500</xdr:rowOff>
    </xdr:from>
    <xdr:to>
      <xdr:col>34</xdr:col>
      <xdr:colOff>9525</xdr:colOff>
      <xdr:row>179</xdr:row>
      <xdr:rowOff>152400</xdr:rowOff>
    </xdr:to>
    <xdr:graphicFrame macro="">
      <xdr:nvGraphicFramePr>
        <xdr:cNvPr id="218138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</xdr:col>
      <xdr:colOff>276225</xdr:colOff>
      <xdr:row>201</xdr:row>
      <xdr:rowOff>104775</xdr:rowOff>
    </xdr:from>
    <xdr:to>
      <xdr:col>14</xdr:col>
      <xdr:colOff>38100</xdr:colOff>
      <xdr:row>216</xdr:row>
      <xdr:rowOff>28575</xdr:rowOff>
    </xdr:to>
    <xdr:graphicFrame macro="">
      <xdr:nvGraphicFramePr>
        <xdr:cNvPr id="218139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25</xdr:col>
      <xdr:colOff>219075</xdr:colOff>
      <xdr:row>201</xdr:row>
      <xdr:rowOff>76200</xdr:rowOff>
    </xdr:from>
    <xdr:to>
      <xdr:col>34</xdr:col>
      <xdr:colOff>0</xdr:colOff>
      <xdr:row>215</xdr:row>
      <xdr:rowOff>142875</xdr:rowOff>
    </xdr:to>
    <xdr:graphicFrame macro="">
      <xdr:nvGraphicFramePr>
        <xdr:cNvPr id="218140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25</xdr:col>
      <xdr:colOff>276225</xdr:colOff>
      <xdr:row>215</xdr:row>
      <xdr:rowOff>276225</xdr:rowOff>
    </xdr:from>
    <xdr:to>
      <xdr:col>34</xdr:col>
      <xdr:colOff>0</xdr:colOff>
      <xdr:row>227</xdr:row>
      <xdr:rowOff>219075</xdr:rowOff>
    </xdr:to>
    <xdr:graphicFrame macro="">
      <xdr:nvGraphicFramePr>
        <xdr:cNvPr id="218141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</xdr:col>
      <xdr:colOff>161925</xdr:colOff>
      <xdr:row>261</xdr:row>
      <xdr:rowOff>180975</xdr:rowOff>
    </xdr:from>
    <xdr:to>
      <xdr:col>14</xdr:col>
      <xdr:colOff>609600</xdr:colOff>
      <xdr:row>277</xdr:row>
      <xdr:rowOff>38100</xdr:rowOff>
    </xdr:to>
    <xdr:graphicFrame macro="">
      <xdr:nvGraphicFramePr>
        <xdr:cNvPr id="218142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25</xdr:col>
      <xdr:colOff>219075</xdr:colOff>
      <xdr:row>258</xdr:row>
      <xdr:rowOff>104775</xdr:rowOff>
    </xdr:from>
    <xdr:to>
      <xdr:col>34</xdr:col>
      <xdr:colOff>38100</xdr:colOff>
      <xdr:row>274</xdr:row>
      <xdr:rowOff>0</xdr:rowOff>
    </xdr:to>
    <xdr:graphicFrame macro="">
      <xdr:nvGraphicFramePr>
        <xdr:cNvPr id="218143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25</xdr:col>
      <xdr:colOff>47625</xdr:colOff>
      <xdr:row>280</xdr:row>
      <xdr:rowOff>66675</xdr:rowOff>
    </xdr:from>
    <xdr:to>
      <xdr:col>33</xdr:col>
      <xdr:colOff>304800</xdr:colOff>
      <xdr:row>291</xdr:row>
      <xdr:rowOff>28575</xdr:rowOff>
    </xdr:to>
    <xdr:graphicFrame macro="">
      <xdr:nvGraphicFramePr>
        <xdr:cNvPr id="218144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15</xdr:col>
      <xdr:colOff>161925</xdr:colOff>
      <xdr:row>1</xdr:row>
      <xdr:rowOff>9525</xdr:rowOff>
    </xdr:from>
    <xdr:to>
      <xdr:col>22</xdr:col>
      <xdr:colOff>123825</xdr:colOff>
      <xdr:row>15</xdr:row>
      <xdr:rowOff>104775</xdr:rowOff>
    </xdr:to>
    <xdr:graphicFrame macro="">
      <xdr:nvGraphicFramePr>
        <xdr:cNvPr id="218145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15</xdr:col>
      <xdr:colOff>190500</xdr:colOff>
      <xdr:row>16</xdr:row>
      <xdr:rowOff>38100</xdr:rowOff>
    </xdr:from>
    <xdr:to>
      <xdr:col>21</xdr:col>
      <xdr:colOff>800100</xdr:colOff>
      <xdr:row>28</xdr:row>
      <xdr:rowOff>9525</xdr:rowOff>
    </xdr:to>
    <xdr:graphicFrame macro="">
      <xdr:nvGraphicFramePr>
        <xdr:cNvPr id="218146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15</xdr:col>
      <xdr:colOff>219075</xdr:colOff>
      <xdr:row>28</xdr:row>
      <xdr:rowOff>66675</xdr:rowOff>
    </xdr:from>
    <xdr:to>
      <xdr:col>21</xdr:col>
      <xdr:colOff>762000</xdr:colOff>
      <xdr:row>41</xdr:row>
      <xdr:rowOff>66675</xdr:rowOff>
    </xdr:to>
    <xdr:graphicFrame macro="">
      <xdr:nvGraphicFramePr>
        <xdr:cNvPr id="218147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</xdr:col>
      <xdr:colOff>342900</xdr:colOff>
      <xdr:row>283</xdr:row>
      <xdr:rowOff>19050</xdr:rowOff>
    </xdr:from>
    <xdr:to>
      <xdr:col>6</xdr:col>
      <xdr:colOff>1085850</xdr:colOff>
      <xdr:row>293</xdr:row>
      <xdr:rowOff>0</xdr:rowOff>
    </xdr:to>
    <xdr:graphicFrame macro="">
      <xdr:nvGraphicFramePr>
        <xdr:cNvPr id="218148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14</xdr:col>
      <xdr:colOff>333375</xdr:colOff>
      <xdr:row>294</xdr:row>
      <xdr:rowOff>38100</xdr:rowOff>
    </xdr:from>
    <xdr:to>
      <xdr:col>20</xdr:col>
      <xdr:colOff>838200</xdr:colOff>
      <xdr:row>308</xdr:row>
      <xdr:rowOff>123825</xdr:rowOff>
    </xdr:to>
    <xdr:graphicFrame macro="">
      <xdr:nvGraphicFramePr>
        <xdr:cNvPr id="218149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14</xdr:col>
      <xdr:colOff>419100</xdr:colOff>
      <xdr:row>308</xdr:row>
      <xdr:rowOff>485775</xdr:rowOff>
    </xdr:from>
    <xdr:to>
      <xdr:col>20</xdr:col>
      <xdr:colOff>733425</xdr:colOff>
      <xdr:row>323</xdr:row>
      <xdr:rowOff>142875</xdr:rowOff>
    </xdr:to>
    <xdr:graphicFrame macro="">
      <xdr:nvGraphicFramePr>
        <xdr:cNvPr id="21815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16</xdr:col>
      <xdr:colOff>371475</xdr:colOff>
      <xdr:row>333</xdr:row>
      <xdr:rowOff>38100</xdr:rowOff>
    </xdr:from>
    <xdr:to>
      <xdr:col>24</xdr:col>
      <xdr:colOff>276225</xdr:colOff>
      <xdr:row>342</xdr:row>
      <xdr:rowOff>419100</xdr:rowOff>
    </xdr:to>
    <xdr:graphicFrame macro="">
      <xdr:nvGraphicFramePr>
        <xdr:cNvPr id="218151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16</xdr:col>
      <xdr:colOff>609600</xdr:colOff>
      <xdr:row>364</xdr:row>
      <xdr:rowOff>28575</xdr:rowOff>
    </xdr:from>
    <xdr:to>
      <xdr:col>24</xdr:col>
      <xdr:colOff>123825</xdr:colOff>
      <xdr:row>373</xdr:row>
      <xdr:rowOff>38100</xdr:rowOff>
    </xdr:to>
    <xdr:graphicFrame macro="">
      <xdr:nvGraphicFramePr>
        <xdr:cNvPr id="218152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</xdr:col>
      <xdr:colOff>304800</xdr:colOff>
      <xdr:row>383</xdr:row>
      <xdr:rowOff>114300</xdr:rowOff>
    </xdr:from>
    <xdr:to>
      <xdr:col>9</xdr:col>
      <xdr:colOff>371475</xdr:colOff>
      <xdr:row>393</xdr:row>
      <xdr:rowOff>104775</xdr:rowOff>
    </xdr:to>
    <xdr:graphicFrame macro="">
      <xdr:nvGraphicFramePr>
        <xdr:cNvPr id="21815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38100</xdr:colOff>
      <xdr:row>394</xdr:row>
      <xdr:rowOff>85725</xdr:rowOff>
    </xdr:from>
    <xdr:to>
      <xdr:col>10</xdr:col>
      <xdr:colOff>314325</xdr:colOff>
      <xdr:row>402</xdr:row>
      <xdr:rowOff>161925</xdr:rowOff>
    </xdr:to>
    <xdr:graphicFrame macro="">
      <xdr:nvGraphicFramePr>
        <xdr:cNvPr id="21815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16</xdr:col>
      <xdr:colOff>352425</xdr:colOff>
      <xdr:row>343</xdr:row>
      <xdr:rowOff>142875</xdr:rowOff>
    </xdr:from>
    <xdr:to>
      <xdr:col>25</xdr:col>
      <xdr:colOff>276225</xdr:colOff>
      <xdr:row>352</xdr:row>
      <xdr:rowOff>419100</xdr:rowOff>
    </xdr:to>
    <xdr:graphicFrame macro="">
      <xdr:nvGraphicFramePr>
        <xdr:cNvPr id="21815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16</xdr:col>
      <xdr:colOff>390525</xdr:colOff>
      <xdr:row>374</xdr:row>
      <xdr:rowOff>47625</xdr:rowOff>
    </xdr:from>
    <xdr:to>
      <xdr:col>24</xdr:col>
      <xdr:colOff>523875</xdr:colOff>
      <xdr:row>384</xdr:row>
      <xdr:rowOff>190500</xdr:rowOff>
    </xdr:to>
    <xdr:graphicFrame macro="">
      <xdr:nvGraphicFramePr>
        <xdr:cNvPr id="21815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0.48499</cdr:x>
      <cdr:y>0.40057</cdr:y>
    </cdr:from>
    <cdr:to>
      <cdr:x>0.53218</cdr:x>
      <cdr:y>0.44128</cdr:y>
    </cdr:to>
    <cdr:sp macro="" textlink="">
      <cdr:nvSpPr>
        <cdr:cNvPr id="1509990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7222" y="1692646"/>
          <a:ext cx="250846" cy="1999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/>
          <a:ext uri="{91240B29-F687-4F45-9708-019B960494DF}"/>
          <a:ext uri="{AF507438-7753-43E0-B8FC-AC1667EBCBE1}"/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875" b="0" i="0" u="none" strike="noStrike" baseline="0">
              <a:solidFill>
                <a:srgbClr val="000000"/>
              </a:solidFill>
              <a:latin typeface="Arial"/>
              <a:cs typeface="Arial"/>
            </a:rPr>
            <a:t>l-0-</a:t>
          </a:r>
          <a:endParaRPr lang="en-GB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58</xdr:row>
      <xdr:rowOff>76200</xdr:rowOff>
    </xdr:from>
    <xdr:to>
      <xdr:col>16</xdr:col>
      <xdr:colOff>990600</xdr:colOff>
      <xdr:row>74</xdr:row>
      <xdr:rowOff>66675</xdr:rowOff>
    </xdr:to>
    <xdr:graphicFrame macro="">
      <xdr:nvGraphicFramePr>
        <xdr:cNvPr id="2867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76</xdr:row>
      <xdr:rowOff>104775</xdr:rowOff>
    </xdr:from>
    <xdr:to>
      <xdr:col>16</xdr:col>
      <xdr:colOff>923925</xdr:colOff>
      <xdr:row>93</xdr:row>
      <xdr:rowOff>76200</xdr:rowOff>
    </xdr:to>
    <xdr:graphicFrame macro="">
      <xdr:nvGraphicFramePr>
        <xdr:cNvPr id="286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257175</xdr:colOff>
      <xdr:row>57</xdr:row>
      <xdr:rowOff>104775</xdr:rowOff>
    </xdr:from>
    <xdr:to>
      <xdr:col>23</xdr:col>
      <xdr:colOff>533400</xdr:colOff>
      <xdr:row>74</xdr:row>
      <xdr:rowOff>28575</xdr:rowOff>
    </xdr:to>
    <xdr:graphicFrame macro="">
      <xdr:nvGraphicFramePr>
        <xdr:cNvPr id="286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180975</xdr:colOff>
      <xdr:row>76</xdr:row>
      <xdr:rowOff>104775</xdr:rowOff>
    </xdr:from>
    <xdr:to>
      <xdr:col>23</xdr:col>
      <xdr:colOff>447675</xdr:colOff>
      <xdr:row>93</xdr:row>
      <xdr:rowOff>104775</xdr:rowOff>
    </xdr:to>
    <xdr:graphicFrame macro="">
      <xdr:nvGraphicFramePr>
        <xdr:cNvPr id="2867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85725</xdr:colOff>
      <xdr:row>99</xdr:row>
      <xdr:rowOff>28575</xdr:rowOff>
    </xdr:from>
    <xdr:to>
      <xdr:col>16</xdr:col>
      <xdr:colOff>981075</xdr:colOff>
      <xdr:row>114</xdr:row>
      <xdr:rowOff>9525</xdr:rowOff>
    </xdr:to>
    <xdr:graphicFrame macro="">
      <xdr:nvGraphicFramePr>
        <xdr:cNvPr id="2867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266700</xdr:colOff>
      <xdr:row>99</xdr:row>
      <xdr:rowOff>123825</xdr:rowOff>
    </xdr:from>
    <xdr:to>
      <xdr:col>23</xdr:col>
      <xdr:colOff>504825</xdr:colOff>
      <xdr:row>114</xdr:row>
      <xdr:rowOff>123825</xdr:rowOff>
    </xdr:to>
    <xdr:graphicFrame macro="">
      <xdr:nvGraphicFramePr>
        <xdr:cNvPr id="2867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142875</xdr:colOff>
      <xdr:row>116</xdr:row>
      <xdr:rowOff>114300</xdr:rowOff>
    </xdr:from>
    <xdr:to>
      <xdr:col>16</xdr:col>
      <xdr:colOff>180975</xdr:colOff>
      <xdr:row>131</xdr:row>
      <xdr:rowOff>114300</xdr:rowOff>
    </xdr:to>
    <xdr:graphicFrame macro="">
      <xdr:nvGraphicFramePr>
        <xdr:cNvPr id="2867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390525</xdr:colOff>
      <xdr:row>115</xdr:row>
      <xdr:rowOff>114300</xdr:rowOff>
    </xdr:from>
    <xdr:to>
      <xdr:col>23</xdr:col>
      <xdr:colOff>485775</xdr:colOff>
      <xdr:row>130</xdr:row>
      <xdr:rowOff>142875</xdr:rowOff>
    </xdr:to>
    <xdr:graphicFrame macro="">
      <xdr:nvGraphicFramePr>
        <xdr:cNvPr id="2868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333375</xdr:colOff>
      <xdr:row>132</xdr:row>
      <xdr:rowOff>66675</xdr:rowOff>
    </xdr:from>
    <xdr:to>
      <xdr:col>16</xdr:col>
      <xdr:colOff>409575</xdr:colOff>
      <xdr:row>149</xdr:row>
      <xdr:rowOff>104775</xdr:rowOff>
    </xdr:to>
    <xdr:graphicFrame macro="">
      <xdr:nvGraphicFramePr>
        <xdr:cNvPr id="2868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457200</xdr:colOff>
      <xdr:row>132</xdr:row>
      <xdr:rowOff>9525</xdr:rowOff>
    </xdr:from>
    <xdr:to>
      <xdr:col>23</xdr:col>
      <xdr:colOff>314325</xdr:colOff>
      <xdr:row>150</xdr:row>
      <xdr:rowOff>114300</xdr:rowOff>
    </xdr:to>
    <xdr:graphicFrame macro="">
      <xdr:nvGraphicFramePr>
        <xdr:cNvPr id="2868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0</xdr:row>
      <xdr:rowOff>152400</xdr:rowOff>
    </xdr:from>
    <xdr:to>
      <xdr:col>12</xdr:col>
      <xdr:colOff>352425</xdr:colOff>
      <xdr:row>12</xdr:row>
      <xdr:rowOff>104775</xdr:rowOff>
    </xdr:to>
    <xdr:graphicFrame macro="">
      <xdr:nvGraphicFramePr>
        <xdr:cNvPr id="3993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495300</xdr:colOff>
      <xdr:row>19</xdr:row>
      <xdr:rowOff>19050</xdr:rowOff>
    </xdr:from>
    <xdr:to>
      <xdr:col>13</xdr:col>
      <xdr:colOff>619125</xdr:colOff>
      <xdr:row>28</xdr:row>
      <xdr:rowOff>238125</xdr:rowOff>
    </xdr:to>
    <xdr:graphicFrame macro="">
      <xdr:nvGraphicFramePr>
        <xdr:cNvPr id="399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33</xdr:row>
      <xdr:rowOff>76200</xdr:rowOff>
    </xdr:from>
    <xdr:to>
      <xdr:col>13</xdr:col>
      <xdr:colOff>123825</xdr:colOff>
      <xdr:row>44</xdr:row>
      <xdr:rowOff>28575</xdr:rowOff>
    </xdr:to>
    <xdr:graphicFrame macro="">
      <xdr:nvGraphicFramePr>
        <xdr:cNvPr id="3993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1066800</xdr:colOff>
      <xdr:row>53</xdr:row>
      <xdr:rowOff>314325</xdr:rowOff>
    </xdr:from>
    <xdr:to>
      <xdr:col>12</xdr:col>
      <xdr:colOff>542925</xdr:colOff>
      <xdr:row>64</xdr:row>
      <xdr:rowOff>66675</xdr:rowOff>
    </xdr:to>
    <xdr:graphicFrame macro="">
      <xdr:nvGraphicFramePr>
        <xdr:cNvPr id="3994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1028700</xdr:colOff>
      <xdr:row>77</xdr:row>
      <xdr:rowOff>152400</xdr:rowOff>
    </xdr:from>
    <xdr:to>
      <xdr:col>14</xdr:col>
      <xdr:colOff>523875</xdr:colOff>
      <xdr:row>91</xdr:row>
      <xdr:rowOff>28575</xdr:rowOff>
    </xdr:to>
    <xdr:graphicFrame macro="">
      <xdr:nvGraphicFramePr>
        <xdr:cNvPr id="3994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762000</xdr:colOff>
      <xdr:row>92</xdr:row>
      <xdr:rowOff>0</xdr:rowOff>
    </xdr:from>
    <xdr:to>
      <xdr:col>14</xdr:col>
      <xdr:colOff>180975</xdr:colOff>
      <xdr:row>107</xdr:row>
      <xdr:rowOff>19050</xdr:rowOff>
    </xdr:to>
    <xdr:graphicFrame macro="">
      <xdr:nvGraphicFramePr>
        <xdr:cNvPr id="3994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9</xdr:col>
      <xdr:colOff>123825</xdr:colOff>
      <xdr:row>108</xdr:row>
      <xdr:rowOff>209550</xdr:rowOff>
    </xdr:from>
    <xdr:to>
      <xdr:col>16</xdr:col>
      <xdr:colOff>609600</xdr:colOff>
      <xdr:row>120</xdr:row>
      <xdr:rowOff>190500</xdr:rowOff>
    </xdr:to>
    <xdr:graphicFrame macro="">
      <xdr:nvGraphicFramePr>
        <xdr:cNvPr id="3994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342900</xdr:colOff>
      <xdr:row>123</xdr:row>
      <xdr:rowOff>9525</xdr:rowOff>
    </xdr:from>
    <xdr:to>
      <xdr:col>17</xdr:col>
      <xdr:colOff>409575</xdr:colOff>
      <xdr:row>135</xdr:row>
      <xdr:rowOff>9525</xdr:rowOff>
    </xdr:to>
    <xdr:graphicFrame macro="">
      <xdr:nvGraphicFramePr>
        <xdr:cNvPr id="3994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180975</xdr:colOff>
      <xdr:row>137</xdr:row>
      <xdr:rowOff>0</xdr:rowOff>
    </xdr:from>
    <xdr:to>
      <xdr:col>17</xdr:col>
      <xdr:colOff>495300</xdr:colOff>
      <xdr:row>150</xdr:row>
      <xdr:rowOff>276225</xdr:rowOff>
    </xdr:to>
    <xdr:graphicFrame macro="">
      <xdr:nvGraphicFramePr>
        <xdr:cNvPr id="3994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180975</xdr:colOff>
      <xdr:row>152</xdr:row>
      <xdr:rowOff>200025</xdr:rowOff>
    </xdr:from>
    <xdr:to>
      <xdr:col>17</xdr:col>
      <xdr:colOff>76200</xdr:colOff>
      <xdr:row>166</xdr:row>
      <xdr:rowOff>276225</xdr:rowOff>
    </xdr:to>
    <xdr:graphicFrame macro="">
      <xdr:nvGraphicFramePr>
        <xdr:cNvPr id="3994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247650</xdr:colOff>
      <xdr:row>167</xdr:row>
      <xdr:rowOff>161925</xdr:rowOff>
    </xdr:from>
    <xdr:to>
      <xdr:col>15</xdr:col>
      <xdr:colOff>304800</xdr:colOff>
      <xdr:row>175</xdr:row>
      <xdr:rowOff>257175</xdr:rowOff>
    </xdr:to>
    <xdr:graphicFrame macro="">
      <xdr:nvGraphicFramePr>
        <xdr:cNvPr id="39947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247650</xdr:colOff>
      <xdr:row>176</xdr:row>
      <xdr:rowOff>38100</xdr:rowOff>
    </xdr:from>
    <xdr:to>
      <xdr:col>15</xdr:col>
      <xdr:colOff>266700</xdr:colOff>
      <xdr:row>189</xdr:row>
      <xdr:rowOff>104775</xdr:rowOff>
    </xdr:to>
    <xdr:graphicFrame macro="">
      <xdr:nvGraphicFramePr>
        <xdr:cNvPr id="39948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695325</xdr:colOff>
      <xdr:row>176</xdr:row>
      <xdr:rowOff>114300</xdr:rowOff>
    </xdr:from>
    <xdr:to>
      <xdr:col>8</xdr:col>
      <xdr:colOff>647700</xdr:colOff>
      <xdr:row>193</xdr:row>
      <xdr:rowOff>57150</xdr:rowOff>
    </xdr:to>
    <xdr:graphicFrame macro="">
      <xdr:nvGraphicFramePr>
        <xdr:cNvPr id="39949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1</xdr:row>
      <xdr:rowOff>47625</xdr:rowOff>
    </xdr:from>
    <xdr:to>
      <xdr:col>11</xdr:col>
      <xdr:colOff>419100</xdr:colOff>
      <xdr:row>17</xdr:row>
      <xdr:rowOff>38100</xdr:rowOff>
    </xdr:to>
    <xdr:graphicFrame macro="">
      <xdr:nvGraphicFramePr>
        <xdr:cNvPr id="542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847725</xdr:colOff>
      <xdr:row>21</xdr:row>
      <xdr:rowOff>142875</xdr:rowOff>
    </xdr:from>
    <xdr:to>
      <xdr:col>10</xdr:col>
      <xdr:colOff>685800</xdr:colOff>
      <xdr:row>33</xdr:row>
      <xdr:rowOff>38100</xdr:rowOff>
    </xdr:to>
    <xdr:graphicFrame macro="">
      <xdr:nvGraphicFramePr>
        <xdr:cNvPr id="542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771525</xdr:colOff>
      <xdr:row>34</xdr:row>
      <xdr:rowOff>161925</xdr:rowOff>
    </xdr:from>
    <xdr:to>
      <xdr:col>10</xdr:col>
      <xdr:colOff>685800</xdr:colOff>
      <xdr:row>49</xdr:row>
      <xdr:rowOff>0</xdr:rowOff>
    </xdr:to>
    <xdr:graphicFrame macro="">
      <xdr:nvGraphicFramePr>
        <xdr:cNvPr id="542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609600</xdr:colOff>
      <xdr:row>50</xdr:row>
      <xdr:rowOff>9525</xdr:rowOff>
    </xdr:from>
    <xdr:to>
      <xdr:col>11</xdr:col>
      <xdr:colOff>447675</xdr:colOff>
      <xdr:row>64</xdr:row>
      <xdr:rowOff>161925</xdr:rowOff>
    </xdr:to>
    <xdr:graphicFrame macro="">
      <xdr:nvGraphicFramePr>
        <xdr:cNvPr id="5427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68</xdr:row>
      <xdr:rowOff>9525</xdr:rowOff>
    </xdr:from>
    <xdr:to>
      <xdr:col>11</xdr:col>
      <xdr:colOff>219075</xdr:colOff>
      <xdr:row>79</xdr:row>
      <xdr:rowOff>0</xdr:rowOff>
    </xdr:to>
    <xdr:graphicFrame macro="">
      <xdr:nvGraphicFramePr>
        <xdr:cNvPr id="5427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9525</xdr:colOff>
      <xdr:row>81</xdr:row>
      <xdr:rowOff>0</xdr:rowOff>
    </xdr:from>
    <xdr:to>
      <xdr:col>11</xdr:col>
      <xdr:colOff>581025</xdr:colOff>
      <xdr:row>94</xdr:row>
      <xdr:rowOff>180975</xdr:rowOff>
    </xdr:to>
    <xdr:graphicFrame macro="">
      <xdr:nvGraphicFramePr>
        <xdr:cNvPr id="5427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38100</xdr:colOff>
      <xdr:row>96</xdr:row>
      <xdr:rowOff>28575</xdr:rowOff>
    </xdr:from>
    <xdr:to>
      <xdr:col>11</xdr:col>
      <xdr:colOff>123825</xdr:colOff>
      <xdr:row>108</xdr:row>
      <xdr:rowOff>38100</xdr:rowOff>
    </xdr:to>
    <xdr:graphicFrame macro="">
      <xdr:nvGraphicFramePr>
        <xdr:cNvPr id="5427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76200</xdr:colOff>
      <xdr:row>115</xdr:row>
      <xdr:rowOff>28575</xdr:rowOff>
    </xdr:from>
    <xdr:to>
      <xdr:col>11</xdr:col>
      <xdr:colOff>542925</xdr:colOff>
      <xdr:row>126</xdr:row>
      <xdr:rowOff>142875</xdr:rowOff>
    </xdr:to>
    <xdr:graphicFrame macro="">
      <xdr:nvGraphicFramePr>
        <xdr:cNvPr id="5428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76200</xdr:colOff>
      <xdr:row>128</xdr:row>
      <xdr:rowOff>9525</xdr:rowOff>
    </xdr:from>
    <xdr:to>
      <xdr:col>11</xdr:col>
      <xdr:colOff>561975</xdr:colOff>
      <xdr:row>140</xdr:row>
      <xdr:rowOff>38100</xdr:rowOff>
    </xdr:to>
    <xdr:graphicFrame macro="">
      <xdr:nvGraphicFramePr>
        <xdr:cNvPr id="54281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1</xdr:row>
      <xdr:rowOff>0</xdr:rowOff>
    </xdr:from>
    <xdr:to>
      <xdr:col>13</xdr:col>
      <xdr:colOff>466725</xdr:colOff>
      <xdr:row>15</xdr:row>
      <xdr:rowOff>180975</xdr:rowOff>
    </xdr:to>
    <xdr:graphicFrame macro="">
      <xdr:nvGraphicFramePr>
        <xdr:cNvPr id="6451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409575</xdr:colOff>
      <xdr:row>17</xdr:row>
      <xdr:rowOff>0</xdr:rowOff>
    </xdr:from>
    <xdr:to>
      <xdr:col>13</xdr:col>
      <xdr:colOff>180975</xdr:colOff>
      <xdr:row>30</xdr:row>
      <xdr:rowOff>104775</xdr:rowOff>
    </xdr:to>
    <xdr:graphicFrame macro="">
      <xdr:nvGraphicFramePr>
        <xdr:cNvPr id="6451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542925</xdr:colOff>
      <xdr:row>32</xdr:row>
      <xdr:rowOff>9525</xdr:rowOff>
    </xdr:from>
    <xdr:to>
      <xdr:col>13</xdr:col>
      <xdr:colOff>295275</xdr:colOff>
      <xdr:row>47</xdr:row>
      <xdr:rowOff>9525</xdr:rowOff>
    </xdr:to>
    <xdr:graphicFrame macro="">
      <xdr:nvGraphicFramePr>
        <xdr:cNvPr id="6451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923925</xdr:colOff>
      <xdr:row>47</xdr:row>
      <xdr:rowOff>257175</xdr:rowOff>
    </xdr:from>
    <xdr:to>
      <xdr:col>13</xdr:col>
      <xdr:colOff>228600</xdr:colOff>
      <xdr:row>59</xdr:row>
      <xdr:rowOff>114300</xdr:rowOff>
    </xdr:to>
    <xdr:graphicFrame macro="">
      <xdr:nvGraphicFramePr>
        <xdr:cNvPr id="6451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981075</xdr:colOff>
      <xdr:row>60</xdr:row>
      <xdr:rowOff>142875</xdr:rowOff>
    </xdr:from>
    <xdr:to>
      <xdr:col>13</xdr:col>
      <xdr:colOff>390525</xdr:colOff>
      <xdr:row>74</xdr:row>
      <xdr:rowOff>257175</xdr:rowOff>
    </xdr:to>
    <xdr:graphicFrame macro="">
      <xdr:nvGraphicFramePr>
        <xdr:cNvPr id="6451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76</xdr:row>
      <xdr:rowOff>0</xdr:rowOff>
    </xdr:from>
    <xdr:to>
      <xdr:col>12</xdr:col>
      <xdr:colOff>9525</xdr:colOff>
      <xdr:row>90</xdr:row>
      <xdr:rowOff>276225</xdr:rowOff>
    </xdr:to>
    <xdr:graphicFrame macro="">
      <xdr:nvGraphicFramePr>
        <xdr:cNvPr id="6451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9525</xdr:colOff>
      <xdr:row>92</xdr:row>
      <xdr:rowOff>9525</xdr:rowOff>
    </xdr:from>
    <xdr:to>
      <xdr:col>12</xdr:col>
      <xdr:colOff>9525</xdr:colOff>
      <xdr:row>104</xdr:row>
      <xdr:rowOff>9525</xdr:rowOff>
    </xdr:to>
    <xdr:graphicFrame macro="">
      <xdr:nvGraphicFramePr>
        <xdr:cNvPr id="64519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161925</xdr:colOff>
      <xdr:row>104</xdr:row>
      <xdr:rowOff>219075</xdr:rowOff>
    </xdr:from>
    <xdr:to>
      <xdr:col>12</xdr:col>
      <xdr:colOff>180975</xdr:colOff>
      <xdr:row>118</xdr:row>
      <xdr:rowOff>142875</xdr:rowOff>
    </xdr:to>
    <xdr:graphicFrame macro="">
      <xdr:nvGraphicFramePr>
        <xdr:cNvPr id="6452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581025</xdr:colOff>
      <xdr:row>119</xdr:row>
      <xdr:rowOff>142875</xdr:rowOff>
    </xdr:from>
    <xdr:to>
      <xdr:col>12</xdr:col>
      <xdr:colOff>619125</xdr:colOff>
      <xdr:row>134</xdr:row>
      <xdr:rowOff>276225</xdr:rowOff>
    </xdr:to>
    <xdr:graphicFrame macro="">
      <xdr:nvGraphicFramePr>
        <xdr:cNvPr id="6452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542925</xdr:colOff>
      <xdr:row>135</xdr:row>
      <xdr:rowOff>190500</xdr:rowOff>
    </xdr:from>
    <xdr:to>
      <xdr:col>12</xdr:col>
      <xdr:colOff>647700</xdr:colOff>
      <xdr:row>148</xdr:row>
      <xdr:rowOff>0</xdr:rowOff>
    </xdr:to>
    <xdr:graphicFrame macro="">
      <xdr:nvGraphicFramePr>
        <xdr:cNvPr id="6452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495300</xdr:colOff>
      <xdr:row>148</xdr:row>
      <xdr:rowOff>76200</xdr:rowOff>
    </xdr:from>
    <xdr:to>
      <xdr:col>12</xdr:col>
      <xdr:colOff>676275</xdr:colOff>
      <xdr:row>162</xdr:row>
      <xdr:rowOff>190500</xdr:rowOff>
    </xdr:to>
    <xdr:graphicFrame macro="">
      <xdr:nvGraphicFramePr>
        <xdr:cNvPr id="64523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47625</xdr:colOff>
      <xdr:row>163</xdr:row>
      <xdr:rowOff>142875</xdr:rowOff>
    </xdr:from>
    <xdr:to>
      <xdr:col>13</xdr:col>
      <xdr:colOff>266700</xdr:colOff>
      <xdr:row>178</xdr:row>
      <xdr:rowOff>276225</xdr:rowOff>
    </xdr:to>
    <xdr:graphicFrame macro="">
      <xdr:nvGraphicFramePr>
        <xdr:cNvPr id="6452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47625</xdr:colOff>
      <xdr:row>179</xdr:row>
      <xdr:rowOff>114300</xdr:rowOff>
    </xdr:from>
    <xdr:to>
      <xdr:col>13</xdr:col>
      <xdr:colOff>219075</xdr:colOff>
      <xdr:row>191</xdr:row>
      <xdr:rowOff>104775</xdr:rowOff>
    </xdr:to>
    <xdr:graphicFrame macro="">
      <xdr:nvGraphicFramePr>
        <xdr:cNvPr id="64525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47625</xdr:colOff>
      <xdr:row>192</xdr:row>
      <xdr:rowOff>142875</xdr:rowOff>
    </xdr:from>
    <xdr:to>
      <xdr:col>13</xdr:col>
      <xdr:colOff>276225</xdr:colOff>
      <xdr:row>206</xdr:row>
      <xdr:rowOff>142875</xdr:rowOff>
    </xdr:to>
    <xdr:graphicFrame macro="">
      <xdr:nvGraphicFramePr>
        <xdr:cNvPr id="64526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304800</xdr:colOff>
      <xdr:row>208</xdr:row>
      <xdr:rowOff>0</xdr:rowOff>
    </xdr:from>
    <xdr:to>
      <xdr:col>13</xdr:col>
      <xdr:colOff>466725</xdr:colOff>
      <xdr:row>223</xdr:row>
      <xdr:rowOff>38100</xdr:rowOff>
    </xdr:to>
    <xdr:graphicFrame macro="">
      <xdr:nvGraphicFramePr>
        <xdr:cNvPr id="64527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495300</xdr:colOff>
      <xdr:row>223</xdr:row>
      <xdr:rowOff>304800</xdr:rowOff>
    </xdr:from>
    <xdr:to>
      <xdr:col>13</xdr:col>
      <xdr:colOff>542925</xdr:colOff>
      <xdr:row>235</xdr:row>
      <xdr:rowOff>142875</xdr:rowOff>
    </xdr:to>
    <xdr:graphicFrame macro="">
      <xdr:nvGraphicFramePr>
        <xdr:cNvPr id="64528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542925</xdr:colOff>
      <xdr:row>237</xdr:row>
      <xdr:rowOff>9525</xdr:rowOff>
    </xdr:from>
    <xdr:to>
      <xdr:col>13</xdr:col>
      <xdr:colOff>647700</xdr:colOff>
      <xdr:row>248</xdr:row>
      <xdr:rowOff>142875</xdr:rowOff>
    </xdr:to>
    <xdr:graphicFrame macro="">
      <xdr:nvGraphicFramePr>
        <xdr:cNvPr id="64529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457200</xdr:colOff>
      <xdr:row>252</xdr:row>
      <xdr:rowOff>0</xdr:rowOff>
    </xdr:from>
    <xdr:to>
      <xdr:col>13</xdr:col>
      <xdr:colOff>523875</xdr:colOff>
      <xdr:row>265</xdr:row>
      <xdr:rowOff>0</xdr:rowOff>
    </xdr:to>
    <xdr:graphicFrame macro="">
      <xdr:nvGraphicFramePr>
        <xdr:cNvPr id="64530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457200</xdr:colOff>
      <xdr:row>267</xdr:row>
      <xdr:rowOff>180975</xdr:rowOff>
    </xdr:from>
    <xdr:to>
      <xdr:col>13</xdr:col>
      <xdr:colOff>523875</xdr:colOff>
      <xdr:row>279</xdr:row>
      <xdr:rowOff>142875</xdr:rowOff>
    </xdr:to>
    <xdr:graphicFrame macro="">
      <xdr:nvGraphicFramePr>
        <xdr:cNvPr id="64531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200025</xdr:colOff>
      <xdr:row>293</xdr:row>
      <xdr:rowOff>152400</xdr:rowOff>
    </xdr:from>
    <xdr:to>
      <xdr:col>13</xdr:col>
      <xdr:colOff>561975</xdr:colOff>
      <xdr:row>310</xdr:row>
      <xdr:rowOff>9525</xdr:rowOff>
    </xdr:to>
    <xdr:graphicFrame macro="">
      <xdr:nvGraphicFramePr>
        <xdr:cNvPr id="64532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447675</xdr:colOff>
      <xdr:row>280</xdr:row>
      <xdr:rowOff>152400</xdr:rowOff>
    </xdr:from>
    <xdr:to>
      <xdr:col>13</xdr:col>
      <xdr:colOff>542925</xdr:colOff>
      <xdr:row>293</xdr:row>
      <xdr:rowOff>0</xdr:rowOff>
    </xdr:to>
    <xdr:graphicFrame macro="">
      <xdr:nvGraphicFramePr>
        <xdr:cNvPr id="64533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0</xdr:row>
      <xdr:rowOff>104775</xdr:rowOff>
    </xdr:from>
    <xdr:to>
      <xdr:col>13</xdr:col>
      <xdr:colOff>47625</xdr:colOff>
      <xdr:row>15</xdr:row>
      <xdr:rowOff>104775</xdr:rowOff>
    </xdr:to>
    <xdr:graphicFrame macro="">
      <xdr:nvGraphicFramePr>
        <xdr:cNvPr id="870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619125</xdr:colOff>
      <xdr:row>20</xdr:row>
      <xdr:rowOff>9525</xdr:rowOff>
    </xdr:from>
    <xdr:to>
      <xdr:col>13</xdr:col>
      <xdr:colOff>561975</xdr:colOff>
      <xdr:row>32</xdr:row>
      <xdr:rowOff>66675</xdr:rowOff>
    </xdr:to>
    <xdr:graphicFrame macro="">
      <xdr:nvGraphicFramePr>
        <xdr:cNvPr id="8704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676275</xdr:colOff>
      <xdr:row>33</xdr:row>
      <xdr:rowOff>47625</xdr:rowOff>
    </xdr:from>
    <xdr:to>
      <xdr:col>13</xdr:col>
      <xdr:colOff>647700</xdr:colOff>
      <xdr:row>47</xdr:row>
      <xdr:rowOff>9525</xdr:rowOff>
    </xdr:to>
    <xdr:graphicFrame macro="">
      <xdr:nvGraphicFramePr>
        <xdr:cNvPr id="8704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676275</xdr:colOff>
      <xdr:row>48</xdr:row>
      <xdr:rowOff>238125</xdr:rowOff>
    </xdr:from>
    <xdr:to>
      <xdr:col>11</xdr:col>
      <xdr:colOff>314325</xdr:colOff>
      <xdr:row>62</xdr:row>
      <xdr:rowOff>114300</xdr:rowOff>
    </xdr:to>
    <xdr:graphicFrame macro="">
      <xdr:nvGraphicFramePr>
        <xdr:cNvPr id="87044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885825</xdr:colOff>
      <xdr:row>48</xdr:row>
      <xdr:rowOff>238125</xdr:rowOff>
    </xdr:from>
    <xdr:to>
      <xdr:col>20</xdr:col>
      <xdr:colOff>342900</xdr:colOff>
      <xdr:row>63</xdr:row>
      <xdr:rowOff>0</xdr:rowOff>
    </xdr:to>
    <xdr:graphicFrame macro="">
      <xdr:nvGraphicFramePr>
        <xdr:cNvPr id="87045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38100</xdr:colOff>
      <xdr:row>63</xdr:row>
      <xdr:rowOff>28575</xdr:rowOff>
    </xdr:from>
    <xdr:to>
      <xdr:col>10</xdr:col>
      <xdr:colOff>638175</xdr:colOff>
      <xdr:row>75</xdr:row>
      <xdr:rowOff>266700</xdr:rowOff>
    </xdr:to>
    <xdr:graphicFrame macro="">
      <xdr:nvGraphicFramePr>
        <xdr:cNvPr id="87046" name="Chart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47625</xdr:colOff>
      <xdr:row>76</xdr:row>
      <xdr:rowOff>66675</xdr:rowOff>
    </xdr:from>
    <xdr:to>
      <xdr:col>10</xdr:col>
      <xdr:colOff>581025</xdr:colOff>
      <xdr:row>83</xdr:row>
      <xdr:rowOff>142875</xdr:rowOff>
    </xdr:to>
    <xdr:graphicFrame macro="">
      <xdr:nvGraphicFramePr>
        <xdr:cNvPr id="87047" name="Chart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371475</xdr:colOff>
      <xdr:row>0</xdr:row>
      <xdr:rowOff>142875</xdr:rowOff>
    </xdr:from>
    <xdr:to>
      <xdr:col>28</xdr:col>
      <xdr:colOff>752475</xdr:colOff>
      <xdr:row>17</xdr:row>
      <xdr:rowOff>200025</xdr:rowOff>
    </xdr:to>
    <xdr:graphicFrame macro="">
      <xdr:nvGraphicFramePr>
        <xdr:cNvPr id="87048" name="Chart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581025</xdr:colOff>
      <xdr:row>63</xdr:row>
      <xdr:rowOff>114300</xdr:rowOff>
    </xdr:from>
    <xdr:to>
      <xdr:col>18</xdr:col>
      <xdr:colOff>876300</xdr:colOff>
      <xdr:row>76</xdr:row>
      <xdr:rowOff>38100</xdr:rowOff>
    </xdr:to>
    <xdr:graphicFrame macro="">
      <xdr:nvGraphicFramePr>
        <xdr:cNvPr id="87049" name="Chart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276225</xdr:colOff>
      <xdr:row>33</xdr:row>
      <xdr:rowOff>104775</xdr:rowOff>
    </xdr:from>
    <xdr:to>
      <xdr:col>28</xdr:col>
      <xdr:colOff>47625</xdr:colOff>
      <xdr:row>47</xdr:row>
      <xdr:rowOff>0</xdr:rowOff>
    </xdr:to>
    <xdr:graphicFrame macro="">
      <xdr:nvGraphicFramePr>
        <xdr:cNvPr id="87050" name="Chart 3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304800</xdr:colOff>
      <xdr:row>18</xdr:row>
      <xdr:rowOff>0</xdr:rowOff>
    </xdr:from>
    <xdr:to>
      <xdr:col>27</xdr:col>
      <xdr:colOff>523875</xdr:colOff>
      <xdr:row>33</xdr:row>
      <xdr:rowOff>9525</xdr:rowOff>
    </xdr:to>
    <xdr:graphicFrame macro="">
      <xdr:nvGraphicFramePr>
        <xdr:cNvPr id="87051" name="Chart 4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0.19077</cdr:x>
      <cdr:y>0.31567</cdr:y>
    </cdr:from>
    <cdr:to>
      <cdr:x>0.28582</cdr:x>
      <cdr:y>0.37228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47232" y="1454856"/>
          <a:ext cx="529167" cy="264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900">
              <a:latin typeface="Arial" pitchFamily="34" charset="0"/>
              <a:cs typeface="Arial" pitchFamily="34" charset="0"/>
            </a:rPr>
            <a:t>100</a:t>
          </a:r>
          <a:r>
            <a:rPr lang="en-GB" sz="1100"/>
            <a:t>%</a:t>
          </a:r>
        </a:p>
      </cdr:txBody>
    </cdr:sp>
  </cdr:relSizeAnchor>
  <cdr:relSizeAnchor xmlns:cdr="http://schemas.openxmlformats.org/drawingml/2006/chartDrawing">
    <cdr:from>
      <cdr:x>0.39955</cdr:x>
      <cdr:y>0.20862</cdr:y>
    </cdr:from>
    <cdr:to>
      <cdr:x>0.50231</cdr:x>
      <cdr:y>0.26754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311400" y="957440"/>
          <a:ext cx="571500" cy="2751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900">
              <a:latin typeface="Arial" pitchFamily="34" charset="0"/>
              <a:cs typeface="Arial" pitchFamily="34" charset="0"/>
            </a:rPr>
            <a:t>144</a:t>
          </a:r>
          <a:r>
            <a:rPr lang="en-GB" sz="1100"/>
            <a:t>%</a:t>
          </a:r>
        </a:p>
      </cdr:txBody>
    </cdr:sp>
  </cdr:relSizeAnchor>
  <cdr:relSizeAnchor xmlns:cdr="http://schemas.openxmlformats.org/drawingml/2006/chartDrawing">
    <cdr:from>
      <cdr:x>0.62001</cdr:x>
      <cdr:y>0.5055</cdr:y>
    </cdr:from>
    <cdr:to>
      <cdr:x>0.70946</cdr:x>
      <cdr:y>0.57133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539066" y="2343857"/>
          <a:ext cx="497417" cy="3069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-39%</a:t>
          </a:r>
        </a:p>
      </cdr:txBody>
    </cdr:sp>
  </cdr:relSizeAnchor>
  <cdr:relSizeAnchor xmlns:cdr="http://schemas.openxmlformats.org/drawingml/2006/chartDrawing">
    <cdr:from>
      <cdr:x>0.83686</cdr:x>
      <cdr:y>0.5055</cdr:y>
    </cdr:from>
    <cdr:to>
      <cdr:x>0.91873</cdr:x>
      <cdr:y>0.56647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744861" y="2343856"/>
          <a:ext cx="45578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-37%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45</xdr:row>
      <xdr:rowOff>28575</xdr:rowOff>
    </xdr:from>
    <xdr:to>
      <xdr:col>14</xdr:col>
      <xdr:colOff>0</xdr:colOff>
      <xdr:row>59</xdr:row>
      <xdr:rowOff>276225</xdr:rowOff>
    </xdr:to>
    <xdr:graphicFrame macro="">
      <xdr:nvGraphicFramePr>
        <xdr:cNvPr id="9932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847725</xdr:colOff>
      <xdr:row>61</xdr:row>
      <xdr:rowOff>9525</xdr:rowOff>
    </xdr:from>
    <xdr:to>
      <xdr:col>14</xdr:col>
      <xdr:colOff>409575</xdr:colOff>
      <xdr:row>72</xdr:row>
      <xdr:rowOff>66675</xdr:rowOff>
    </xdr:to>
    <xdr:graphicFrame macro="">
      <xdr:nvGraphicFramePr>
        <xdr:cNvPr id="9933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38100</xdr:colOff>
      <xdr:row>74</xdr:row>
      <xdr:rowOff>28575</xdr:rowOff>
    </xdr:from>
    <xdr:to>
      <xdr:col>14</xdr:col>
      <xdr:colOff>304800</xdr:colOff>
      <xdr:row>85</xdr:row>
      <xdr:rowOff>123825</xdr:rowOff>
    </xdr:to>
    <xdr:graphicFrame macro="">
      <xdr:nvGraphicFramePr>
        <xdr:cNvPr id="9933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47625</xdr:colOff>
      <xdr:row>45</xdr:row>
      <xdr:rowOff>0</xdr:rowOff>
    </xdr:from>
    <xdr:to>
      <xdr:col>22</xdr:col>
      <xdr:colOff>800100</xdr:colOff>
      <xdr:row>60</xdr:row>
      <xdr:rowOff>9525</xdr:rowOff>
    </xdr:to>
    <xdr:graphicFrame macro="">
      <xdr:nvGraphicFramePr>
        <xdr:cNvPr id="9933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130</xdr:row>
      <xdr:rowOff>0</xdr:rowOff>
    </xdr:from>
    <xdr:to>
      <xdr:col>11</xdr:col>
      <xdr:colOff>885825</xdr:colOff>
      <xdr:row>143</xdr:row>
      <xdr:rowOff>0</xdr:rowOff>
    </xdr:to>
    <xdr:graphicFrame macro="">
      <xdr:nvGraphicFramePr>
        <xdr:cNvPr id="9933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144</xdr:row>
      <xdr:rowOff>0</xdr:rowOff>
    </xdr:from>
    <xdr:to>
      <xdr:col>12</xdr:col>
      <xdr:colOff>47625</xdr:colOff>
      <xdr:row>156</xdr:row>
      <xdr:rowOff>9525</xdr:rowOff>
    </xdr:to>
    <xdr:graphicFrame macro="">
      <xdr:nvGraphicFramePr>
        <xdr:cNvPr id="9933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38100</xdr:colOff>
      <xdr:row>157</xdr:row>
      <xdr:rowOff>0</xdr:rowOff>
    </xdr:from>
    <xdr:to>
      <xdr:col>12</xdr:col>
      <xdr:colOff>38100</xdr:colOff>
      <xdr:row>169</xdr:row>
      <xdr:rowOff>9525</xdr:rowOff>
    </xdr:to>
    <xdr:graphicFrame macro="">
      <xdr:nvGraphicFramePr>
        <xdr:cNvPr id="9933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169</xdr:row>
      <xdr:rowOff>142875</xdr:rowOff>
    </xdr:from>
    <xdr:to>
      <xdr:col>12</xdr:col>
      <xdr:colOff>38100</xdr:colOff>
      <xdr:row>182</xdr:row>
      <xdr:rowOff>0</xdr:rowOff>
    </xdr:to>
    <xdr:graphicFrame macro="">
      <xdr:nvGraphicFramePr>
        <xdr:cNvPr id="9933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38100</xdr:colOff>
      <xdr:row>184</xdr:row>
      <xdr:rowOff>0</xdr:rowOff>
    </xdr:from>
    <xdr:to>
      <xdr:col>12</xdr:col>
      <xdr:colOff>38100</xdr:colOff>
      <xdr:row>197</xdr:row>
      <xdr:rowOff>276225</xdr:rowOff>
    </xdr:to>
    <xdr:graphicFrame macro="">
      <xdr:nvGraphicFramePr>
        <xdr:cNvPr id="9933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9525</xdr:colOff>
      <xdr:row>199</xdr:row>
      <xdr:rowOff>0</xdr:rowOff>
    </xdr:from>
    <xdr:to>
      <xdr:col>12</xdr:col>
      <xdr:colOff>38100</xdr:colOff>
      <xdr:row>213</xdr:row>
      <xdr:rowOff>0</xdr:rowOff>
    </xdr:to>
    <xdr:graphicFrame macro="">
      <xdr:nvGraphicFramePr>
        <xdr:cNvPr id="99338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342900</xdr:colOff>
      <xdr:row>1</xdr:row>
      <xdr:rowOff>9525</xdr:rowOff>
    </xdr:from>
    <xdr:to>
      <xdr:col>14</xdr:col>
      <xdr:colOff>809625</xdr:colOff>
      <xdr:row>14</xdr:row>
      <xdr:rowOff>0</xdr:rowOff>
    </xdr:to>
    <xdr:graphicFrame macro="">
      <xdr:nvGraphicFramePr>
        <xdr:cNvPr id="99339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276225</xdr:colOff>
      <xdr:row>16</xdr:row>
      <xdr:rowOff>142875</xdr:rowOff>
    </xdr:from>
    <xdr:to>
      <xdr:col>14</xdr:col>
      <xdr:colOff>752475</xdr:colOff>
      <xdr:row>28</xdr:row>
      <xdr:rowOff>9525</xdr:rowOff>
    </xdr:to>
    <xdr:graphicFrame macro="">
      <xdr:nvGraphicFramePr>
        <xdr:cNvPr id="99340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304800</xdr:colOff>
      <xdr:row>30</xdr:row>
      <xdr:rowOff>0</xdr:rowOff>
    </xdr:from>
    <xdr:to>
      <xdr:col>14</xdr:col>
      <xdr:colOff>723900</xdr:colOff>
      <xdr:row>40</xdr:row>
      <xdr:rowOff>142875</xdr:rowOff>
    </xdr:to>
    <xdr:graphicFrame macro="">
      <xdr:nvGraphicFramePr>
        <xdr:cNvPr id="99341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542925</xdr:colOff>
      <xdr:row>89</xdr:row>
      <xdr:rowOff>0</xdr:rowOff>
    </xdr:from>
    <xdr:to>
      <xdr:col>14</xdr:col>
      <xdr:colOff>561975</xdr:colOff>
      <xdr:row>100</xdr:row>
      <xdr:rowOff>76200</xdr:rowOff>
    </xdr:to>
    <xdr:graphicFrame macro="">
      <xdr:nvGraphicFramePr>
        <xdr:cNvPr id="99342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342900</xdr:colOff>
      <xdr:row>103</xdr:row>
      <xdr:rowOff>28575</xdr:rowOff>
    </xdr:from>
    <xdr:to>
      <xdr:col>14</xdr:col>
      <xdr:colOff>714375</xdr:colOff>
      <xdr:row>115</xdr:row>
      <xdr:rowOff>371475</xdr:rowOff>
    </xdr:to>
    <xdr:graphicFrame macro="">
      <xdr:nvGraphicFramePr>
        <xdr:cNvPr id="99343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352425</xdr:colOff>
      <xdr:row>116</xdr:row>
      <xdr:rowOff>9525</xdr:rowOff>
    </xdr:from>
    <xdr:to>
      <xdr:col>14</xdr:col>
      <xdr:colOff>714375</xdr:colOff>
      <xdr:row>129</xdr:row>
      <xdr:rowOff>0</xdr:rowOff>
    </xdr:to>
    <xdr:graphicFrame macro="">
      <xdr:nvGraphicFramePr>
        <xdr:cNvPr id="99344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838200</xdr:colOff>
      <xdr:row>89</xdr:row>
      <xdr:rowOff>47625</xdr:rowOff>
    </xdr:from>
    <xdr:to>
      <xdr:col>17</xdr:col>
      <xdr:colOff>733425</xdr:colOff>
      <xdr:row>96</xdr:row>
      <xdr:rowOff>257175</xdr:rowOff>
    </xdr:to>
    <xdr:graphicFrame macro="">
      <xdr:nvGraphicFramePr>
        <xdr:cNvPr id="99345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18</xdr:col>
      <xdr:colOff>47625</xdr:colOff>
      <xdr:row>89</xdr:row>
      <xdr:rowOff>28575</xdr:rowOff>
    </xdr:from>
    <xdr:to>
      <xdr:col>20</xdr:col>
      <xdr:colOff>828675</xdr:colOff>
      <xdr:row>96</xdr:row>
      <xdr:rowOff>257175</xdr:rowOff>
    </xdr:to>
    <xdr:graphicFrame macro="">
      <xdr:nvGraphicFramePr>
        <xdr:cNvPr id="99346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15</xdr:col>
      <xdr:colOff>314325</xdr:colOff>
      <xdr:row>102</xdr:row>
      <xdr:rowOff>152400</xdr:rowOff>
    </xdr:from>
    <xdr:to>
      <xdr:col>18</xdr:col>
      <xdr:colOff>638175</xdr:colOff>
      <xdr:row>111</xdr:row>
      <xdr:rowOff>38100</xdr:rowOff>
    </xdr:to>
    <xdr:graphicFrame macro="">
      <xdr:nvGraphicFramePr>
        <xdr:cNvPr id="99347" name="Chart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19</xdr:col>
      <xdr:colOff>314325</xdr:colOff>
      <xdr:row>102</xdr:row>
      <xdr:rowOff>152400</xdr:rowOff>
    </xdr:from>
    <xdr:to>
      <xdr:col>22</xdr:col>
      <xdr:colOff>276225</xdr:colOff>
      <xdr:row>111</xdr:row>
      <xdr:rowOff>0</xdr:rowOff>
    </xdr:to>
    <xdr:graphicFrame macro="">
      <xdr:nvGraphicFramePr>
        <xdr:cNvPr id="99348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15</xdr:col>
      <xdr:colOff>304800</xdr:colOff>
      <xdr:row>114</xdr:row>
      <xdr:rowOff>66675</xdr:rowOff>
    </xdr:from>
    <xdr:to>
      <xdr:col>18</xdr:col>
      <xdr:colOff>752475</xdr:colOff>
      <xdr:row>123</xdr:row>
      <xdr:rowOff>0</xdr:rowOff>
    </xdr:to>
    <xdr:graphicFrame macro="">
      <xdr:nvGraphicFramePr>
        <xdr:cNvPr id="99349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123825</xdr:colOff>
      <xdr:row>130</xdr:row>
      <xdr:rowOff>66675</xdr:rowOff>
    </xdr:from>
    <xdr:to>
      <xdr:col>16</xdr:col>
      <xdr:colOff>257175</xdr:colOff>
      <xdr:row>138</xdr:row>
      <xdr:rowOff>219075</xdr:rowOff>
    </xdr:to>
    <xdr:graphicFrame macro="">
      <xdr:nvGraphicFramePr>
        <xdr:cNvPr id="99350" name="Chart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</xdr:col>
      <xdr:colOff>885825</xdr:colOff>
      <xdr:row>143</xdr:row>
      <xdr:rowOff>142875</xdr:rowOff>
    </xdr:from>
    <xdr:to>
      <xdr:col>16</xdr:col>
      <xdr:colOff>542925</xdr:colOff>
      <xdr:row>154</xdr:row>
      <xdr:rowOff>38100</xdr:rowOff>
    </xdr:to>
    <xdr:graphicFrame macro="">
      <xdr:nvGraphicFramePr>
        <xdr:cNvPr id="99351" name="Chart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29</xdr:col>
      <xdr:colOff>180975</xdr:colOff>
      <xdr:row>87</xdr:row>
      <xdr:rowOff>142875</xdr:rowOff>
    </xdr:from>
    <xdr:to>
      <xdr:col>37</xdr:col>
      <xdr:colOff>9525</xdr:colOff>
      <xdr:row>101</xdr:row>
      <xdr:rowOff>0</xdr:rowOff>
    </xdr:to>
    <xdr:graphicFrame macro="">
      <xdr:nvGraphicFramePr>
        <xdr:cNvPr id="9935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20</xdr:col>
      <xdr:colOff>257175</xdr:colOff>
      <xdr:row>143</xdr:row>
      <xdr:rowOff>142875</xdr:rowOff>
    </xdr:from>
    <xdr:to>
      <xdr:col>26</xdr:col>
      <xdr:colOff>657225</xdr:colOff>
      <xdr:row>154</xdr:row>
      <xdr:rowOff>38100</xdr:rowOff>
    </xdr:to>
    <xdr:graphicFrame macro="">
      <xdr:nvGraphicFramePr>
        <xdr:cNvPr id="9935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114300</xdr:rowOff>
    </xdr:from>
    <xdr:to>
      <xdr:col>16</xdr:col>
      <xdr:colOff>657225</xdr:colOff>
      <xdr:row>15</xdr:row>
      <xdr:rowOff>257175</xdr:rowOff>
    </xdr:to>
    <xdr:graphicFrame macro="">
      <xdr:nvGraphicFramePr>
        <xdr:cNvPr id="125953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85725</xdr:colOff>
      <xdr:row>17</xdr:row>
      <xdr:rowOff>85725</xdr:rowOff>
    </xdr:from>
    <xdr:to>
      <xdr:col>16</xdr:col>
      <xdr:colOff>619125</xdr:colOff>
      <xdr:row>29</xdr:row>
      <xdr:rowOff>38100</xdr:rowOff>
    </xdr:to>
    <xdr:graphicFrame macro="">
      <xdr:nvGraphicFramePr>
        <xdr:cNvPr id="125954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30</xdr:row>
      <xdr:rowOff>180975</xdr:rowOff>
    </xdr:from>
    <xdr:to>
      <xdr:col>16</xdr:col>
      <xdr:colOff>619125</xdr:colOff>
      <xdr:row>43</xdr:row>
      <xdr:rowOff>190500</xdr:rowOff>
    </xdr:to>
    <xdr:graphicFrame macro="">
      <xdr:nvGraphicFramePr>
        <xdr:cNvPr id="125955" name="Chart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142875</xdr:colOff>
      <xdr:row>44</xdr:row>
      <xdr:rowOff>66675</xdr:rowOff>
    </xdr:from>
    <xdr:to>
      <xdr:col>16</xdr:col>
      <xdr:colOff>714375</xdr:colOff>
      <xdr:row>60</xdr:row>
      <xdr:rowOff>9525</xdr:rowOff>
    </xdr:to>
    <xdr:graphicFrame macro="">
      <xdr:nvGraphicFramePr>
        <xdr:cNvPr id="125956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142875</xdr:colOff>
      <xdr:row>60</xdr:row>
      <xdr:rowOff>114300</xdr:rowOff>
    </xdr:from>
    <xdr:to>
      <xdr:col>16</xdr:col>
      <xdr:colOff>657225</xdr:colOff>
      <xdr:row>72</xdr:row>
      <xdr:rowOff>142875</xdr:rowOff>
    </xdr:to>
    <xdr:graphicFrame macro="">
      <xdr:nvGraphicFramePr>
        <xdr:cNvPr id="125957" name="Chart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161925</xdr:colOff>
      <xdr:row>74</xdr:row>
      <xdr:rowOff>47625</xdr:rowOff>
    </xdr:from>
    <xdr:to>
      <xdr:col>16</xdr:col>
      <xdr:colOff>714375</xdr:colOff>
      <xdr:row>87</xdr:row>
      <xdr:rowOff>180975</xdr:rowOff>
    </xdr:to>
    <xdr:graphicFrame macro="">
      <xdr:nvGraphicFramePr>
        <xdr:cNvPr id="125958" name="Chart 10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276225</xdr:colOff>
      <xdr:row>89</xdr:row>
      <xdr:rowOff>76200</xdr:rowOff>
    </xdr:from>
    <xdr:to>
      <xdr:col>16</xdr:col>
      <xdr:colOff>695325</xdr:colOff>
      <xdr:row>104</xdr:row>
      <xdr:rowOff>38100</xdr:rowOff>
    </xdr:to>
    <xdr:graphicFrame macro="">
      <xdr:nvGraphicFramePr>
        <xdr:cNvPr id="125959" name="Chart 10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219075</xdr:colOff>
      <xdr:row>105</xdr:row>
      <xdr:rowOff>142875</xdr:rowOff>
    </xdr:from>
    <xdr:to>
      <xdr:col>16</xdr:col>
      <xdr:colOff>752475</xdr:colOff>
      <xdr:row>118</xdr:row>
      <xdr:rowOff>38100</xdr:rowOff>
    </xdr:to>
    <xdr:graphicFrame macro="">
      <xdr:nvGraphicFramePr>
        <xdr:cNvPr id="125960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190500</xdr:colOff>
      <xdr:row>118</xdr:row>
      <xdr:rowOff>142875</xdr:rowOff>
    </xdr:from>
    <xdr:to>
      <xdr:col>16</xdr:col>
      <xdr:colOff>695325</xdr:colOff>
      <xdr:row>131</xdr:row>
      <xdr:rowOff>76200</xdr:rowOff>
    </xdr:to>
    <xdr:graphicFrame macro="">
      <xdr:nvGraphicFramePr>
        <xdr:cNvPr id="125961" name="Chart 10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219075</xdr:colOff>
      <xdr:row>132</xdr:row>
      <xdr:rowOff>104775</xdr:rowOff>
    </xdr:from>
    <xdr:to>
      <xdr:col>16</xdr:col>
      <xdr:colOff>714375</xdr:colOff>
      <xdr:row>147</xdr:row>
      <xdr:rowOff>238125</xdr:rowOff>
    </xdr:to>
    <xdr:graphicFrame macro="">
      <xdr:nvGraphicFramePr>
        <xdr:cNvPr id="125962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219075</xdr:colOff>
      <xdr:row>149</xdr:row>
      <xdr:rowOff>76200</xdr:rowOff>
    </xdr:from>
    <xdr:to>
      <xdr:col>16</xdr:col>
      <xdr:colOff>733425</xdr:colOff>
      <xdr:row>162</xdr:row>
      <xdr:rowOff>0</xdr:rowOff>
    </xdr:to>
    <xdr:graphicFrame macro="">
      <xdr:nvGraphicFramePr>
        <xdr:cNvPr id="125963" name="Chart 10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123825</xdr:colOff>
      <xdr:row>162</xdr:row>
      <xdr:rowOff>104775</xdr:rowOff>
    </xdr:from>
    <xdr:to>
      <xdr:col>16</xdr:col>
      <xdr:colOff>638175</xdr:colOff>
      <xdr:row>175</xdr:row>
      <xdr:rowOff>47625</xdr:rowOff>
    </xdr:to>
    <xdr:graphicFrame macro="">
      <xdr:nvGraphicFramePr>
        <xdr:cNvPr id="125964" name="Chart 10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371475</xdr:colOff>
      <xdr:row>176</xdr:row>
      <xdr:rowOff>28575</xdr:rowOff>
    </xdr:from>
    <xdr:to>
      <xdr:col>16</xdr:col>
      <xdr:colOff>723900</xdr:colOff>
      <xdr:row>189</xdr:row>
      <xdr:rowOff>38100</xdr:rowOff>
    </xdr:to>
    <xdr:graphicFrame macro="">
      <xdr:nvGraphicFramePr>
        <xdr:cNvPr id="125965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342900</xdr:colOff>
      <xdr:row>189</xdr:row>
      <xdr:rowOff>104775</xdr:rowOff>
    </xdr:from>
    <xdr:to>
      <xdr:col>16</xdr:col>
      <xdr:colOff>676275</xdr:colOff>
      <xdr:row>203</xdr:row>
      <xdr:rowOff>142875</xdr:rowOff>
    </xdr:to>
    <xdr:graphicFrame macro="">
      <xdr:nvGraphicFramePr>
        <xdr:cNvPr id="125966" name="Chart 10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276225</xdr:colOff>
      <xdr:row>204</xdr:row>
      <xdr:rowOff>104775</xdr:rowOff>
    </xdr:from>
    <xdr:to>
      <xdr:col>16</xdr:col>
      <xdr:colOff>619125</xdr:colOff>
      <xdr:row>219</xdr:row>
      <xdr:rowOff>219075</xdr:rowOff>
    </xdr:to>
    <xdr:graphicFrame macro="">
      <xdr:nvGraphicFramePr>
        <xdr:cNvPr id="125967" name="Chart 10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390525</xdr:colOff>
      <xdr:row>220</xdr:row>
      <xdr:rowOff>142875</xdr:rowOff>
    </xdr:from>
    <xdr:to>
      <xdr:col>16</xdr:col>
      <xdr:colOff>657225</xdr:colOff>
      <xdr:row>232</xdr:row>
      <xdr:rowOff>104775</xdr:rowOff>
    </xdr:to>
    <xdr:graphicFrame macro="">
      <xdr:nvGraphicFramePr>
        <xdr:cNvPr id="125968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390525</xdr:colOff>
      <xdr:row>233</xdr:row>
      <xdr:rowOff>66675</xdr:rowOff>
    </xdr:from>
    <xdr:to>
      <xdr:col>16</xdr:col>
      <xdr:colOff>695325</xdr:colOff>
      <xdr:row>248</xdr:row>
      <xdr:rowOff>142875</xdr:rowOff>
    </xdr:to>
    <xdr:graphicFrame macro="">
      <xdr:nvGraphicFramePr>
        <xdr:cNvPr id="125969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219075</xdr:colOff>
      <xdr:row>249</xdr:row>
      <xdr:rowOff>142875</xdr:rowOff>
    </xdr:from>
    <xdr:to>
      <xdr:col>16</xdr:col>
      <xdr:colOff>619125</xdr:colOff>
      <xdr:row>263</xdr:row>
      <xdr:rowOff>190500</xdr:rowOff>
    </xdr:to>
    <xdr:graphicFrame macro="">
      <xdr:nvGraphicFramePr>
        <xdr:cNvPr id="125970" name="Chart 10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276225</xdr:colOff>
      <xdr:row>264</xdr:row>
      <xdr:rowOff>76200</xdr:rowOff>
    </xdr:from>
    <xdr:to>
      <xdr:col>16</xdr:col>
      <xdr:colOff>657225</xdr:colOff>
      <xdr:row>278</xdr:row>
      <xdr:rowOff>38100</xdr:rowOff>
    </xdr:to>
    <xdr:graphicFrame macro="">
      <xdr:nvGraphicFramePr>
        <xdr:cNvPr id="125971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390525</xdr:colOff>
      <xdr:row>279</xdr:row>
      <xdr:rowOff>0</xdr:rowOff>
    </xdr:from>
    <xdr:to>
      <xdr:col>16</xdr:col>
      <xdr:colOff>752475</xdr:colOff>
      <xdr:row>292</xdr:row>
      <xdr:rowOff>9525</xdr:rowOff>
    </xdr:to>
    <xdr:graphicFrame macro="">
      <xdr:nvGraphicFramePr>
        <xdr:cNvPr id="125972" name="Chart 10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276225</xdr:colOff>
      <xdr:row>292</xdr:row>
      <xdr:rowOff>104775</xdr:rowOff>
    </xdr:from>
    <xdr:to>
      <xdr:col>16</xdr:col>
      <xdr:colOff>695325</xdr:colOff>
      <xdr:row>307</xdr:row>
      <xdr:rowOff>190500</xdr:rowOff>
    </xdr:to>
    <xdr:graphicFrame macro="">
      <xdr:nvGraphicFramePr>
        <xdr:cNvPr id="125973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8</xdr:col>
      <xdr:colOff>219075</xdr:colOff>
      <xdr:row>308</xdr:row>
      <xdr:rowOff>66675</xdr:rowOff>
    </xdr:from>
    <xdr:to>
      <xdr:col>16</xdr:col>
      <xdr:colOff>533400</xdr:colOff>
      <xdr:row>322</xdr:row>
      <xdr:rowOff>114300</xdr:rowOff>
    </xdr:to>
    <xdr:graphicFrame macro="">
      <xdr:nvGraphicFramePr>
        <xdr:cNvPr id="125974" name="Chart 10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257175</xdr:colOff>
      <xdr:row>323</xdr:row>
      <xdr:rowOff>66675</xdr:rowOff>
    </xdr:from>
    <xdr:to>
      <xdr:col>16</xdr:col>
      <xdr:colOff>619125</xdr:colOff>
      <xdr:row>336</xdr:row>
      <xdr:rowOff>66675</xdr:rowOff>
    </xdr:to>
    <xdr:graphicFrame macro="">
      <xdr:nvGraphicFramePr>
        <xdr:cNvPr id="125975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219075</xdr:colOff>
      <xdr:row>337</xdr:row>
      <xdr:rowOff>28575</xdr:rowOff>
    </xdr:from>
    <xdr:to>
      <xdr:col>16</xdr:col>
      <xdr:colOff>638175</xdr:colOff>
      <xdr:row>351</xdr:row>
      <xdr:rowOff>219075</xdr:rowOff>
    </xdr:to>
    <xdr:graphicFrame macro="">
      <xdr:nvGraphicFramePr>
        <xdr:cNvPr id="125976" name="Chart 1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8</xdr:col>
      <xdr:colOff>123825</xdr:colOff>
      <xdr:row>353</xdr:row>
      <xdr:rowOff>28575</xdr:rowOff>
    </xdr:from>
    <xdr:to>
      <xdr:col>16</xdr:col>
      <xdr:colOff>533400</xdr:colOff>
      <xdr:row>366</xdr:row>
      <xdr:rowOff>114300</xdr:rowOff>
    </xdr:to>
    <xdr:graphicFrame macro="">
      <xdr:nvGraphicFramePr>
        <xdr:cNvPr id="125977" name="Chart 10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8</xdr:col>
      <xdr:colOff>190500</xdr:colOff>
      <xdr:row>368</xdr:row>
      <xdr:rowOff>0</xdr:rowOff>
    </xdr:from>
    <xdr:to>
      <xdr:col>16</xdr:col>
      <xdr:colOff>638175</xdr:colOff>
      <xdr:row>378</xdr:row>
      <xdr:rowOff>104775</xdr:rowOff>
    </xdr:to>
    <xdr:graphicFrame macro="">
      <xdr:nvGraphicFramePr>
        <xdr:cNvPr id="125978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8</xdr:col>
      <xdr:colOff>219075</xdr:colOff>
      <xdr:row>382</xdr:row>
      <xdr:rowOff>0</xdr:rowOff>
    </xdr:from>
    <xdr:to>
      <xdr:col>16</xdr:col>
      <xdr:colOff>638175</xdr:colOff>
      <xdr:row>395</xdr:row>
      <xdr:rowOff>9525</xdr:rowOff>
    </xdr:to>
    <xdr:graphicFrame macro="">
      <xdr:nvGraphicFramePr>
        <xdr:cNvPr id="125979" name="Chart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</xdr:col>
      <xdr:colOff>47625</xdr:colOff>
      <xdr:row>396</xdr:row>
      <xdr:rowOff>0</xdr:rowOff>
    </xdr:from>
    <xdr:to>
      <xdr:col>16</xdr:col>
      <xdr:colOff>457200</xdr:colOff>
      <xdr:row>413</xdr:row>
      <xdr:rowOff>114300</xdr:rowOff>
    </xdr:to>
    <xdr:graphicFrame macro="">
      <xdr:nvGraphicFramePr>
        <xdr:cNvPr id="125980" name="Chart 10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23</xdr:col>
      <xdr:colOff>0</xdr:colOff>
      <xdr:row>1</xdr:row>
      <xdr:rowOff>495300</xdr:rowOff>
    </xdr:from>
    <xdr:to>
      <xdr:col>29</xdr:col>
      <xdr:colOff>304800</xdr:colOff>
      <xdr:row>15</xdr:row>
      <xdr:rowOff>66675</xdr:rowOff>
    </xdr:to>
    <xdr:graphicFrame macro="">
      <xdr:nvGraphicFramePr>
        <xdr:cNvPr id="1259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24</xdr:col>
      <xdr:colOff>371475</xdr:colOff>
      <xdr:row>45</xdr:row>
      <xdr:rowOff>0</xdr:rowOff>
    </xdr:from>
    <xdr:to>
      <xdr:col>32</xdr:col>
      <xdr:colOff>0</xdr:colOff>
      <xdr:row>60</xdr:row>
      <xdr:rowOff>9525</xdr:rowOff>
    </xdr:to>
    <xdr:graphicFrame macro="">
      <xdr:nvGraphicFramePr>
        <xdr:cNvPr id="1259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3"/>
  <sheetViews>
    <sheetView showGridLines="0" view="pageBreakPreview" topLeftCell="A271" zoomScale="75" zoomScaleNormal="90" zoomScaleSheetLayoutView="75" zoomScalePageLayoutView="90" workbookViewId="0">
      <selection activeCell="D207" sqref="D207"/>
    </sheetView>
  </sheetViews>
  <sheetFormatPr defaultColWidth="10.25" defaultRowHeight="20.100000000000001" customHeight="1"/>
  <cols>
    <col min="1" max="1" width="21.25" style="1" customWidth="1"/>
    <col min="2" max="2" width="14.875" style="1" customWidth="1"/>
    <col min="3" max="3" width="12.25" style="1" customWidth="1"/>
    <col min="4" max="4" width="15.375" style="1" customWidth="1"/>
    <col min="5" max="5" width="16.375" style="1" customWidth="1"/>
    <col min="6" max="6" width="7.625" style="1" customWidth="1"/>
    <col min="7" max="7" width="13.125" style="1" customWidth="1"/>
    <col min="8" max="14" width="7.625" style="1" customWidth="1"/>
    <col min="15" max="16384" width="10.25" style="1"/>
  </cols>
  <sheetData>
    <row r="1" spans="1:14" ht="14.25">
      <c r="A1" s="2" t="s">
        <v>259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4.25">
      <c r="A2" s="2" t="s">
        <v>522</v>
      </c>
      <c r="B2" s="2"/>
      <c r="C2" s="3"/>
      <c r="D2" s="3"/>
      <c r="F2" s="3"/>
      <c r="G2" s="310" t="s">
        <v>182</v>
      </c>
      <c r="H2" s="3"/>
      <c r="I2" s="3"/>
      <c r="J2" s="3"/>
      <c r="K2" s="3"/>
      <c r="L2" s="3"/>
      <c r="M2" s="3"/>
      <c r="N2" s="3"/>
    </row>
    <row r="3" spans="1:14" ht="14.25">
      <c r="A3" s="310"/>
      <c r="B3" s="310" t="s">
        <v>646</v>
      </c>
      <c r="C3" s="310" t="s">
        <v>521</v>
      </c>
      <c r="D3" s="310" t="s">
        <v>520</v>
      </c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4.25">
      <c r="A4" s="310">
        <v>1990</v>
      </c>
      <c r="B4" s="310">
        <v>17.8</v>
      </c>
      <c r="C4" s="310">
        <v>13.2</v>
      </c>
      <c r="D4" s="310">
        <v>4.7</v>
      </c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4.25">
      <c r="A5" s="310">
        <v>1991</v>
      </c>
      <c r="B5" s="310">
        <v>16.5</v>
      </c>
      <c r="C5" s="310">
        <v>12.5</v>
      </c>
      <c r="D5" s="310">
        <v>3.9</v>
      </c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4.25">
      <c r="A6" s="310">
        <v>1992</v>
      </c>
      <c r="B6" s="310">
        <v>16.2</v>
      </c>
      <c r="C6" s="310">
        <v>12.1</v>
      </c>
      <c r="D6" s="310">
        <v>4.0999999999999996</v>
      </c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4.25">
      <c r="A7" s="310">
        <v>1993</v>
      </c>
      <c r="B7" s="310">
        <v>16.600000000000001</v>
      </c>
      <c r="C7" s="310">
        <v>12.3</v>
      </c>
      <c r="D7" s="310">
        <v>4.3</v>
      </c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4.25">
      <c r="A8" s="310">
        <v>1994</v>
      </c>
      <c r="B8" s="310">
        <v>17.3</v>
      </c>
      <c r="C8" s="310">
        <v>12.9</v>
      </c>
      <c r="D8" s="310">
        <v>4.4000000000000004</v>
      </c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4.25">
      <c r="A9" s="310">
        <v>1995</v>
      </c>
      <c r="B9" s="310">
        <v>17.600000000000001</v>
      </c>
      <c r="C9" s="310">
        <v>13.1</v>
      </c>
      <c r="D9" s="310">
        <v>4.5</v>
      </c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4.25">
      <c r="A10" s="310">
        <v>1996</v>
      </c>
      <c r="B10" s="310">
        <v>18</v>
      </c>
      <c r="C10" s="310">
        <v>13.8</v>
      </c>
      <c r="D10" s="310">
        <v>4.2</v>
      </c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4.25">
      <c r="A11" s="310">
        <v>1997</v>
      </c>
      <c r="B11" s="310">
        <v>18.8</v>
      </c>
      <c r="C11" s="310">
        <v>14</v>
      </c>
      <c r="D11" s="310">
        <v>4.5</v>
      </c>
      <c r="E11" s="3"/>
      <c r="G11" s="3"/>
      <c r="H11" s="3" t="s">
        <v>209</v>
      </c>
      <c r="I11" s="3" t="s">
        <v>207</v>
      </c>
      <c r="J11" s="3"/>
      <c r="K11" s="3"/>
      <c r="L11" s="3"/>
      <c r="M11" s="3"/>
      <c r="N11" s="3"/>
    </row>
    <row r="12" spans="1:14" ht="14.25">
      <c r="A12" s="310">
        <v>1998</v>
      </c>
      <c r="B12" s="310">
        <v>17.3</v>
      </c>
      <c r="C12" s="310">
        <v>13.4</v>
      </c>
      <c r="D12" s="310">
        <v>3.9</v>
      </c>
      <c r="E12" s="3"/>
      <c r="G12" s="310">
        <v>1998</v>
      </c>
      <c r="H12" s="310">
        <v>14.2</v>
      </c>
      <c r="I12" s="310">
        <v>45</v>
      </c>
      <c r="J12" s="3"/>
      <c r="K12" s="3"/>
      <c r="L12" s="3"/>
      <c r="M12" s="3"/>
      <c r="N12" s="3"/>
    </row>
    <row r="13" spans="1:14" ht="14.25">
      <c r="A13" s="310">
        <v>1999</v>
      </c>
      <c r="B13" s="310">
        <v>16.3</v>
      </c>
      <c r="C13" s="310">
        <v>12.5</v>
      </c>
      <c r="D13" s="310">
        <v>3.8</v>
      </c>
      <c r="E13" s="3"/>
      <c r="G13" s="310">
        <v>1999</v>
      </c>
      <c r="H13" s="310">
        <v>13.3</v>
      </c>
      <c r="I13" s="311">
        <v>47</v>
      </c>
      <c r="J13" s="3"/>
      <c r="K13" s="3"/>
      <c r="L13" s="3"/>
      <c r="M13" s="3"/>
      <c r="N13" s="3"/>
    </row>
    <row r="14" spans="1:14" ht="14.25">
      <c r="A14" s="310">
        <v>2000</v>
      </c>
      <c r="B14" s="310">
        <v>15.1</v>
      </c>
      <c r="C14" s="310">
        <v>11.6</v>
      </c>
      <c r="D14" s="310">
        <v>3.5</v>
      </c>
      <c r="E14" s="3"/>
      <c r="G14" s="310">
        <v>2000</v>
      </c>
      <c r="H14" s="310">
        <v>13</v>
      </c>
      <c r="I14" s="311">
        <v>49</v>
      </c>
      <c r="J14" s="3"/>
      <c r="K14" s="3"/>
      <c r="L14" s="3"/>
      <c r="M14" s="3"/>
      <c r="N14" s="3"/>
    </row>
    <row r="15" spans="1:14" ht="14.25">
      <c r="A15" s="310">
        <v>2001</v>
      </c>
      <c r="B15" s="310">
        <v>13.4</v>
      </c>
      <c r="C15" s="310">
        <v>10.3</v>
      </c>
      <c r="D15" s="310">
        <v>3.1</v>
      </c>
      <c r="E15" s="3"/>
      <c r="G15" s="310">
        <v>2001</v>
      </c>
      <c r="H15" s="310">
        <v>13</v>
      </c>
      <c r="I15" s="310">
        <v>53</v>
      </c>
      <c r="J15" s="3"/>
      <c r="K15" s="3"/>
      <c r="L15" s="3"/>
      <c r="M15" s="3"/>
      <c r="N15" s="3"/>
    </row>
    <row r="16" spans="1:14" ht="14.25">
      <c r="A16" s="310">
        <v>2002</v>
      </c>
      <c r="B16" s="310">
        <v>11.6</v>
      </c>
      <c r="C16" s="310">
        <v>9</v>
      </c>
      <c r="D16" s="310">
        <v>2.6</v>
      </c>
      <c r="E16" s="3"/>
      <c r="G16" s="310">
        <v>2002</v>
      </c>
      <c r="H16" s="310">
        <v>12.5</v>
      </c>
      <c r="I16" s="311">
        <v>53</v>
      </c>
      <c r="J16" s="3"/>
      <c r="K16" s="3"/>
      <c r="L16" s="3"/>
      <c r="M16" s="3"/>
      <c r="N16" s="3"/>
    </row>
    <row r="17" spans="1:15" ht="14.25">
      <c r="A17" s="310">
        <v>2003</v>
      </c>
      <c r="B17" s="310">
        <v>13.1</v>
      </c>
      <c r="C17" s="310">
        <v>10.6</v>
      </c>
      <c r="D17" s="310">
        <v>2.5</v>
      </c>
      <c r="E17" s="3"/>
      <c r="G17" s="310">
        <v>2003</v>
      </c>
      <c r="H17" s="310">
        <v>12.7</v>
      </c>
      <c r="I17" s="311">
        <v>53</v>
      </c>
      <c r="J17" s="3"/>
      <c r="K17" s="3"/>
      <c r="L17" s="3"/>
      <c r="M17" s="3"/>
      <c r="N17" s="3"/>
    </row>
    <row r="18" spans="1:15" ht="14.25">
      <c r="A18" s="310">
        <v>2004</v>
      </c>
      <c r="B18" s="310">
        <v>13.8</v>
      </c>
      <c r="C18" s="310">
        <v>10.7</v>
      </c>
      <c r="D18" s="310">
        <v>3.1</v>
      </c>
      <c r="E18" s="3"/>
      <c r="G18" s="310">
        <v>2004</v>
      </c>
      <c r="H18" s="310">
        <v>14.2</v>
      </c>
      <c r="I18" s="311">
        <v>51</v>
      </c>
      <c r="J18" s="3"/>
      <c r="K18" s="3"/>
      <c r="L18" s="3"/>
      <c r="M18" s="3"/>
      <c r="N18" s="3"/>
    </row>
    <row r="19" spans="1:15" ht="14.25">
      <c r="A19" s="310">
        <v>2005</v>
      </c>
      <c r="B19" s="310">
        <v>13.2</v>
      </c>
      <c r="C19" s="310">
        <v>10.6</v>
      </c>
      <c r="D19" s="310">
        <v>2.7</v>
      </c>
      <c r="E19" s="3"/>
      <c r="G19" s="310">
        <v>2005</v>
      </c>
      <c r="H19" s="310">
        <v>12.4</v>
      </c>
      <c r="I19" s="311">
        <v>50</v>
      </c>
      <c r="J19" s="3"/>
      <c r="K19" s="3"/>
      <c r="L19" s="3"/>
      <c r="M19" s="3"/>
      <c r="N19" s="3"/>
    </row>
    <row r="20" spans="1:15" ht="14.25">
      <c r="A20" s="310">
        <v>2006</v>
      </c>
      <c r="B20" s="310">
        <v>13.9</v>
      </c>
      <c r="C20" s="310">
        <v>11.2</v>
      </c>
      <c r="D20" s="310">
        <v>2.7</v>
      </c>
      <c r="E20" s="3"/>
      <c r="G20" s="310">
        <v>2006</v>
      </c>
      <c r="H20" s="310">
        <v>14</v>
      </c>
      <c r="I20" s="311">
        <v>52</v>
      </c>
      <c r="J20" s="3"/>
      <c r="K20" s="3"/>
      <c r="L20" s="3"/>
      <c r="M20" s="3"/>
      <c r="N20" s="3"/>
    </row>
    <row r="21" spans="1:15" ht="14.25">
      <c r="A21" s="310">
        <v>2007</v>
      </c>
      <c r="B21" s="310">
        <v>14.2</v>
      </c>
      <c r="C21" s="310">
        <v>11.4</v>
      </c>
      <c r="D21" s="310">
        <v>3</v>
      </c>
      <c r="E21" s="3"/>
      <c r="G21" s="310">
        <v>2007</v>
      </c>
      <c r="H21" s="310">
        <v>14.3</v>
      </c>
      <c r="I21" s="310">
        <v>55</v>
      </c>
      <c r="J21" s="3"/>
      <c r="K21" s="3"/>
      <c r="L21" s="3"/>
      <c r="M21" s="3"/>
      <c r="N21" s="3"/>
    </row>
    <row r="22" spans="1:15" ht="14.25">
      <c r="A22" s="310">
        <v>2008</v>
      </c>
      <c r="B22" s="310">
        <v>13.5</v>
      </c>
      <c r="C22" s="310">
        <v>10.5</v>
      </c>
      <c r="D22" s="310">
        <v>3</v>
      </c>
      <c r="E22" s="3"/>
      <c r="G22" s="310">
        <v>2008</v>
      </c>
      <c r="H22" s="310">
        <v>13</v>
      </c>
      <c r="I22" s="311">
        <v>52</v>
      </c>
      <c r="J22" s="3"/>
      <c r="K22" s="3"/>
      <c r="L22" s="3"/>
      <c r="M22" s="3"/>
      <c r="N22" s="3"/>
    </row>
    <row r="23" spans="1:15" ht="14.25">
      <c r="A23" s="310">
        <v>2009</v>
      </c>
      <c r="B23" s="310">
        <v>10.1</v>
      </c>
      <c r="C23" s="310">
        <v>8</v>
      </c>
      <c r="D23" s="310">
        <v>2.1</v>
      </c>
      <c r="E23" s="3"/>
      <c r="G23" s="310">
        <v>2009</v>
      </c>
      <c r="H23" s="310">
        <v>7.9</v>
      </c>
      <c r="I23" s="310">
        <v>47</v>
      </c>
      <c r="J23" s="3"/>
      <c r="K23" s="3"/>
      <c r="L23" s="3"/>
      <c r="M23" s="3"/>
      <c r="N23" s="3"/>
    </row>
    <row r="24" spans="1:15" ht="14.25">
      <c r="A24" s="310">
        <v>2010</v>
      </c>
      <c r="B24" s="310">
        <v>9.6999999999999993</v>
      </c>
      <c r="C24" s="310">
        <v>7.3</v>
      </c>
      <c r="D24" s="310">
        <v>2.4</v>
      </c>
      <c r="E24" s="3"/>
      <c r="G24" s="310">
        <v>2010</v>
      </c>
      <c r="H24" s="310">
        <v>9.9</v>
      </c>
      <c r="I24" s="310">
        <v>52</v>
      </c>
      <c r="J24" s="3"/>
      <c r="K24" s="3"/>
      <c r="L24" s="3"/>
      <c r="M24" s="3"/>
      <c r="N24" s="3"/>
    </row>
    <row r="25" spans="1:15" ht="14.25">
      <c r="A25" s="312">
        <v>2011</v>
      </c>
      <c r="B25" s="310">
        <v>9.5</v>
      </c>
      <c r="C25" s="310">
        <v>6.9</v>
      </c>
      <c r="D25" s="310">
        <v>2.5</v>
      </c>
      <c r="E25" s="3"/>
      <c r="G25" s="312">
        <v>2011</v>
      </c>
      <c r="H25" s="310">
        <v>10.199999999999999</v>
      </c>
      <c r="I25" s="310">
        <v>54</v>
      </c>
      <c r="J25" s="3"/>
      <c r="K25" s="3"/>
      <c r="L25" s="3"/>
      <c r="M25" s="3"/>
      <c r="N25" s="3"/>
    </row>
    <row r="26" spans="1:15" ht="14.25">
      <c r="A26" s="310">
        <v>2012</v>
      </c>
      <c r="B26" s="310">
        <v>9.6</v>
      </c>
      <c r="C26" s="310">
        <v>7.5</v>
      </c>
      <c r="D26" s="310">
        <v>2.1</v>
      </c>
      <c r="E26" s="3"/>
      <c r="G26" s="310">
        <v>2012</v>
      </c>
      <c r="H26" s="310">
        <v>9.6</v>
      </c>
      <c r="I26" s="310">
        <v>57</v>
      </c>
      <c r="J26" s="3"/>
      <c r="K26" s="3"/>
      <c r="L26" s="3"/>
      <c r="M26" s="3"/>
      <c r="N26" s="3"/>
    </row>
    <row r="27" spans="1:15" ht="11.25" customHeight="1">
      <c r="A27" s="310">
        <v>2013</v>
      </c>
      <c r="B27" s="310">
        <v>11.9</v>
      </c>
      <c r="C27" s="310">
        <v>9.9</v>
      </c>
      <c r="D27" s="310">
        <v>1.9</v>
      </c>
      <c r="E27" s="3"/>
      <c r="G27" s="310">
        <v>2013</v>
      </c>
      <c r="H27" s="310">
        <v>9.6</v>
      </c>
      <c r="I27" s="310">
        <v>56</v>
      </c>
      <c r="J27" s="3"/>
      <c r="K27" s="3"/>
      <c r="L27" s="3"/>
      <c r="M27" s="3"/>
      <c r="N27" s="3"/>
    </row>
    <row r="28" spans="1:15" ht="34.5" customHeight="1">
      <c r="A28" s="3"/>
      <c r="B28" s="3"/>
      <c r="C28" s="3"/>
      <c r="D28" s="3"/>
      <c r="E28" s="3"/>
      <c r="F28" s="3"/>
      <c r="G28" s="318" t="s">
        <v>208</v>
      </c>
      <c r="H28" s="319"/>
      <c r="I28" s="319"/>
      <c r="J28" s="319"/>
      <c r="K28" s="319"/>
      <c r="L28" s="320"/>
      <c r="M28" s="3"/>
      <c r="N28" s="3"/>
      <c r="O28" s="3"/>
    </row>
    <row r="29" spans="1:15" ht="14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5" ht="14.25">
      <c r="A30" s="3" t="s">
        <v>519</v>
      </c>
      <c r="B30" s="3"/>
      <c r="C30" s="3"/>
      <c r="D30" s="3"/>
      <c r="E30" s="3"/>
    </row>
    <row r="31" spans="1:15" ht="14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5" ht="14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14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4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4.25">
      <c r="A35" s="2" t="s">
        <v>1248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4.25">
      <c r="A36" s="3"/>
      <c r="B36" s="3"/>
      <c r="C36" s="3"/>
      <c r="D36" s="2" t="s">
        <v>1244</v>
      </c>
      <c r="E36" s="3"/>
      <c r="F36" s="3"/>
      <c r="G36" s="3"/>
      <c r="H36" s="2" t="s">
        <v>1245</v>
      </c>
      <c r="I36" s="2"/>
      <c r="J36" s="3"/>
      <c r="K36" s="3"/>
      <c r="L36" s="2" t="s">
        <v>1246</v>
      </c>
      <c r="M36" s="2"/>
      <c r="N36" s="3"/>
    </row>
    <row r="37" spans="1:14" ht="14.25">
      <c r="A37" s="3"/>
      <c r="B37" s="3"/>
      <c r="C37" s="3">
        <v>1998</v>
      </c>
      <c r="D37" s="3">
        <v>2001</v>
      </c>
      <c r="E37" s="3">
        <v>2004</v>
      </c>
      <c r="F37" s="3">
        <v>2007</v>
      </c>
      <c r="G37" s="3">
        <v>1998</v>
      </c>
      <c r="H37" s="3">
        <v>2001</v>
      </c>
      <c r="I37" s="3">
        <v>2004</v>
      </c>
      <c r="J37" s="3">
        <v>2007</v>
      </c>
      <c r="K37" s="3">
        <v>1998</v>
      </c>
      <c r="L37" s="3">
        <v>2001</v>
      </c>
      <c r="M37" s="3">
        <v>2004</v>
      </c>
      <c r="N37" s="3">
        <v>2007</v>
      </c>
    </row>
    <row r="38" spans="1:14" ht="14.25">
      <c r="A38" s="3" t="s">
        <v>1247</v>
      </c>
      <c r="B38" s="3"/>
      <c r="C38" s="3">
        <v>266</v>
      </c>
      <c r="D38" s="3">
        <v>153</v>
      </c>
      <c r="E38" s="3">
        <v>150</v>
      </c>
      <c r="F38" s="3">
        <v>8.5</v>
      </c>
      <c r="G38" s="3">
        <v>66400</v>
      </c>
      <c r="H38" s="3">
        <v>60144</v>
      </c>
      <c r="I38" s="3">
        <v>61000</v>
      </c>
      <c r="J38" s="3">
        <v>72000</v>
      </c>
      <c r="K38" s="3">
        <v>671600</v>
      </c>
      <c r="L38" s="3">
        <v>429144</v>
      </c>
      <c r="M38" s="4">
        <v>417000</v>
      </c>
      <c r="N38" s="3">
        <v>1030000</v>
      </c>
    </row>
    <row r="39" spans="1:14" ht="14.25">
      <c r="A39" s="3" t="s">
        <v>122</v>
      </c>
      <c r="B39" s="3"/>
      <c r="C39" s="3">
        <v>0</v>
      </c>
      <c r="D39" s="3">
        <v>0</v>
      </c>
      <c r="E39" s="3">
        <v>0</v>
      </c>
      <c r="F39" s="3">
        <v>0</v>
      </c>
      <c r="G39" s="3">
        <v>6286</v>
      </c>
      <c r="H39" s="3">
        <v>7079</v>
      </c>
      <c r="I39" s="3">
        <v>6900</v>
      </c>
      <c r="J39" s="3">
        <v>7800</v>
      </c>
      <c r="K39" s="3">
        <v>265</v>
      </c>
      <c r="L39" s="3">
        <v>192</v>
      </c>
      <c r="M39" s="3">
        <v>200</v>
      </c>
      <c r="N39" s="3">
        <v>130</v>
      </c>
    </row>
    <row r="40" spans="1:14" ht="14.25">
      <c r="A40" s="3" t="s">
        <v>123</v>
      </c>
      <c r="B40" s="3"/>
      <c r="C40" s="3">
        <v>0</v>
      </c>
      <c r="D40" s="3">
        <v>0</v>
      </c>
      <c r="E40" s="3">
        <v>0</v>
      </c>
      <c r="F40" s="3">
        <v>0</v>
      </c>
      <c r="G40" s="3">
        <v>1075</v>
      </c>
      <c r="H40" s="3">
        <v>1236</v>
      </c>
      <c r="I40" s="3">
        <v>980</v>
      </c>
      <c r="J40" s="3">
        <v>1200</v>
      </c>
      <c r="K40" s="3">
        <v>5840</v>
      </c>
      <c r="L40" s="3">
        <v>6384</v>
      </c>
      <c r="M40" s="3">
        <v>5700</v>
      </c>
      <c r="N40" s="3">
        <v>30000</v>
      </c>
    </row>
    <row r="41" spans="1:14" ht="14.25">
      <c r="A41" s="3" t="s">
        <v>124</v>
      </c>
      <c r="B41" s="3"/>
      <c r="C41" s="3">
        <v>0</v>
      </c>
      <c r="D41" s="3">
        <v>0</v>
      </c>
      <c r="E41" s="3">
        <v>0</v>
      </c>
      <c r="F41" s="3">
        <v>0</v>
      </c>
      <c r="G41" s="3">
        <v>2422</v>
      </c>
      <c r="H41" s="3">
        <v>2351</v>
      </c>
      <c r="I41" s="3">
        <v>1400</v>
      </c>
      <c r="J41" s="3">
        <v>1500</v>
      </c>
      <c r="K41" s="3">
        <v>13</v>
      </c>
      <c r="L41" s="3">
        <v>28</v>
      </c>
      <c r="M41" s="3">
        <v>21</v>
      </c>
      <c r="N41" s="3">
        <v>40</v>
      </c>
    </row>
    <row r="42" spans="1:14" ht="14.25">
      <c r="A42" s="3" t="s">
        <v>125</v>
      </c>
      <c r="B42" s="3"/>
      <c r="C42" s="3">
        <v>0</v>
      </c>
      <c r="D42" s="3">
        <v>0</v>
      </c>
      <c r="E42" s="3">
        <v>0</v>
      </c>
      <c r="F42" s="3">
        <v>91</v>
      </c>
      <c r="G42" s="3">
        <v>2868</v>
      </c>
      <c r="H42" s="3">
        <v>2636</v>
      </c>
      <c r="I42" s="3">
        <v>4300</v>
      </c>
      <c r="J42" s="3">
        <v>3200</v>
      </c>
      <c r="K42" s="3">
        <v>20004</v>
      </c>
      <c r="L42" s="3">
        <v>19981</v>
      </c>
      <c r="M42" s="3">
        <v>31000</v>
      </c>
      <c r="N42" s="3">
        <v>90000</v>
      </c>
    </row>
    <row r="43" spans="1:14" ht="14.25">
      <c r="A43" s="3"/>
      <c r="B43" s="3"/>
      <c r="C43" s="3">
        <v>1998</v>
      </c>
      <c r="D43" s="2">
        <v>2001</v>
      </c>
      <c r="E43" s="2">
        <v>2004</v>
      </c>
      <c r="F43" s="3">
        <v>2007</v>
      </c>
      <c r="G43" s="3"/>
      <c r="H43" s="3"/>
      <c r="I43" s="3"/>
      <c r="J43" s="3"/>
      <c r="K43" s="3"/>
      <c r="L43" s="3"/>
      <c r="M43" s="3"/>
      <c r="N43" s="3"/>
    </row>
    <row r="44" spans="1:14" ht="14.25">
      <c r="A44" s="3" t="s">
        <v>1247</v>
      </c>
      <c r="B44" s="3"/>
      <c r="C44" s="3">
        <v>66400</v>
      </c>
      <c r="D44" s="3">
        <v>60144</v>
      </c>
      <c r="E44" s="3">
        <v>61000</v>
      </c>
      <c r="F44" s="3">
        <v>72000</v>
      </c>
      <c r="G44" s="3"/>
      <c r="H44" s="3"/>
      <c r="I44" s="3"/>
      <c r="J44" s="3"/>
      <c r="K44" s="3"/>
      <c r="L44" s="3"/>
      <c r="M44" s="3"/>
      <c r="N44" s="3"/>
    </row>
    <row r="45" spans="1:14" ht="14.25">
      <c r="A45" s="3" t="s">
        <v>122</v>
      </c>
      <c r="B45" s="3"/>
      <c r="C45" s="3">
        <v>6286</v>
      </c>
      <c r="D45" s="3">
        <v>7079</v>
      </c>
      <c r="E45" s="3">
        <v>6900</v>
      </c>
      <c r="F45" s="3">
        <v>7800</v>
      </c>
      <c r="G45" s="3"/>
      <c r="H45" s="3"/>
      <c r="I45" s="3"/>
      <c r="J45" s="3"/>
      <c r="K45" s="3"/>
      <c r="L45" s="3"/>
      <c r="M45" s="3"/>
      <c r="N45" s="3"/>
    </row>
    <row r="46" spans="1:14" ht="14.25">
      <c r="A46" s="3" t="s">
        <v>123</v>
      </c>
      <c r="B46" s="3"/>
      <c r="C46" s="3">
        <v>1075</v>
      </c>
      <c r="D46" s="3">
        <v>1236</v>
      </c>
      <c r="E46" s="3">
        <v>980</v>
      </c>
      <c r="F46" s="3">
        <v>1200</v>
      </c>
      <c r="G46" s="3"/>
      <c r="H46" s="3"/>
      <c r="I46" s="3"/>
      <c r="J46" s="3"/>
      <c r="K46" s="3"/>
      <c r="L46" s="3"/>
      <c r="M46" s="3"/>
      <c r="N46" s="3"/>
    </row>
    <row r="47" spans="1:14" ht="14.25">
      <c r="A47" s="3" t="s">
        <v>124</v>
      </c>
      <c r="B47" s="3"/>
      <c r="C47" s="3">
        <v>2422</v>
      </c>
      <c r="D47" s="3">
        <v>2351</v>
      </c>
      <c r="E47" s="3">
        <v>1400</v>
      </c>
      <c r="F47" s="3">
        <v>1500</v>
      </c>
      <c r="G47" s="3"/>
      <c r="H47" s="3"/>
      <c r="I47" s="3"/>
      <c r="J47" s="3"/>
      <c r="K47" s="3"/>
      <c r="L47" s="3"/>
      <c r="M47" s="3"/>
      <c r="N47" s="3"/>
    </row>
    <row r="48" spans="1:14" ht="14.25">
      <c r="A48" s="3" t="s">
        <v>125</v>
      </c>
      <c r="B48" s="3"/>
      <c r="C48" s="3">
        <v>2868</v>
      </c>
      <c r="D48" s="3">
        <v>2636</v>
      </c>
      <c r="E48" s="3">
        <v>4300</v>
      </c>
      <c r="F48" s="3">
        <v>3200</v>
      </c>
      <c r="G48" s="3"/>
      <c r="H48" s="3"/>
      <c r="I48" s="3"/>
      <c r="J48" s="3"/>
      <c r="K48" s="3"/>
      <c r="L48" s="3"/>
      <c r="M48" s="3"/>
      <c r="N48" s="3"/>
    </row>
    <row r="49" spans="1:14" ht="14.25">
      <c r="A49" s="3"/>
      <c r="B49" s="3"/>
      <c r="C49" s="3"/>
      <c r="D49" s="2" t="s">
        <v>1246</v>
      </c>
      <c r="E49" s="2"/>
      <c r="F49" s="3"/>
      <c r="G49" s="3"/>
      <c r="H49" s="3"/>
      <c r="I49" s="3"/>
      <c r="J49" s="3"/>
      <c r="K49" s="3"/>
      <c r="L49" s="3"/>
      <c r="M49" s="3"/>
      <c r="N49" s="3"/>
    </row>
    <row r="50" spans="1:14" ht="14.25">
      <c r="A50" s="3"/>
      <c r="B50" s="3"/>
      <c r="C50" s="3">
        <v>1998</v>
      </c>
      <c r="D50" s="3">
        <v>2001</v>
      </c>
      <c r="E50" s="3">
        <v>2004</v>
      </c>
      <c r="F50" s="3">
        <v>2007</v>
      </c>
      <c r="G50" s="3"/>
      <c r="H50" s="3"/>
      <c r="I50" s="3"/>
      <c r="J50" s="3"/>
      <c r="K50" s="3"/>
      <c r="L50" s="3"/>
      <c r="M50" s="3"/>
      <c r="N50" s="3"/>
    </row>
    <row r="51" spans="1:14" ht="14.25">
      <c r="A51" s="3" t="s">
        <v>1247</v>
      </c>
      <c r="B51" s="3"/>
      <c r="C51" s="3">
        <v>671600</v>
      </c>
      <c r="D51" s="3">
        <v>429144</v>
      </c>
      <c r="E51" s="4">
        <v>417000</v>
      </c>
      <c r="F51" s="3">
        <v>1030000</v>
      </c>
      <c r="G51" s="3"/>
      <c r="H51" s="3"/>
      <c r="I51" s="3"/>
      <c r="J51" s="3"/>
      <c r="K51" s="3"/>
      <c r="L51" s="3"/>
      <c r="M51" s="3"/>
      <c r="N51" s="3"/>
    </row>
    <row r="52" spans="1:14" ht="14.25">
      <c r="A52" s="3" t="s">
        <v>122</v>
      </c>
      <c r="B52" s="3"/>
      <c r="C52" s="3">
        <v>265</v>
      </c>
      <c r="D52" s="3">
        <v>192</v>
      </c>
      <c r="E52" s="3">
        <v>200</v>
      </c>
      <c r="F52" s="3">
        <v>130</v>
      </c>
      <c r="G52" s="3"/>
      <c r="H52" s="3"/>
      <c r="I52" s="3"/>
      <c r="J52" s="3"/>
      <c r="K52" s="3"/>
      <c r="L52" s="3"/>
      <c r="M52" s="3"/>
      <c r="N52" s="3"/>
    </row>
    <row r="53" spans="1:14" ht="14.25">
      <c r="A53" s="3" t="s">
        <v>123</v>
      </c>
      <c r="B53" s="3"/>
      <c r="C53" s="3">
        <v>5840</v>
      </c>
      <c r="D53" s="3">
        <v>6384</v>
      </c>
      <c r="E53" s="3">
        <v>5700</v>
      </c>
      <c r="F53" s="3">
        <v>30000</v>
      </c>
      <c r="G53" s="3"/>
      <c r="H53" s="3"/>
      <c r="I53" s="3"/>
      <c r="J53" s="3"/>
      <c r="K53" s="3"/>
      <c r="L53" s="3"/>
      <c r="M53" s="3"/>
      <c r="N53" s="3"/>
    </row>
    <row r="54" spans="1:14" ht="14.25">
      <c r="A54" s="3" t="s">
        <v>124</v>
      </c>
      <c r="B54" s="3"/>
      <c r="C54" s="3">
        <v>13</v>
      </c>
      <c r="D54" s="3">
        <v>28</v>
      </c>
      <c r="E54" s="3">
        <v>21</v>
      </c>
      <c r="F54" s="3">
        <v>40</v>
      </c>
      <c r="G54" s="3"/>
      <c r="H54" s="3"/>
      <c r="I54" s="3"/>
      <c r="J54" s="3"/>
      <c r="K54" s="3"/>
      <c r="L54" s="3"/>
      <c r="M54" s="3"/>
      <c r="N54" s="3"/>
    </row>
    <row r="55" spans="1:14" ht="14.25">
      <c r="A55" s="3" t="s">
        <v>125</v>
      </c>
      <c r="B55" s="3"/>
      <c r="C55" s="3">
        <v>20004</v>
      </c>
      <c r="D55" s="3">
        <v>19981</v>
      </c>
      <c r="E55" s="3">
        <v>31000</v>
      </c>
      <c r="F55" s="3">
        <v>90000</v>
      </c>
      <c r="G55" s="3"/>
      <c r="H55" s="3"/>
      <c r="I55" s="3"/>
      <c r="J55" s="3"/>
      <c r="K55" s="3"/>
      <c r="L55" s="3"/>
      <c r="M55" s="3"/>
      <c r="N55" s="3"/>
    </row>
    <row r="56" spans="1:14" ht="14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4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14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14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14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14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14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14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14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4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ht="14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4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t="14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ht="14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ht="14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ht="14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ht="14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ht="14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ht="14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ht="14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ht="14.25">
      <c r="A76" s="3"/>
      <c r="B76" s="3"/>
      <c r="C76" s="2" t="s">
        <v>1244</v>
      </c>
      <c r="D76" s="3"/>
      <c r="E76" s="3"/>
      <c r="G76" s="3"/>
      <c r="H76" s="3"/>
      <c r="I76" s="3"/>
      <c r="J76" s="3"/>
      <c r="K76" s="3"/>
      <c r="L76" s="3"/>
      <c r="M76" s="3"/>
      <c r="N76" s="3"/>
    </row>
    <row r="77" spans="1:14" ht="14.25">
      <c r="A77" s="3"/>
      <c r="B77" s="3">
        <v>1998</v>
      </c>
      <c r="C77" s="3">
        <v>2001</v>
      </c>
      <c r="D77" s="3">
        <v>2004</v>
      </c>
      <c r="E77" s="3">
        <v>2007</v>
      </c>
      <c r="G77" s="3"/>
      <c r="H77" s="3"/>
      <c r="I77" s="3"/>
      <c r="J77" s="3"/>
      <c r="K77" s="3"/>
      <c r="L77" s="3"/>
      <c r="M77" s="3"/>
      <c r="N77" s="3"/>
    </row>
    <row r="78" spans="1:14" ht="14.25">
      <c r="A78" s="3" t="s">
        <v>126</v>
      </c>
      <c r="B78" s="3">
        <v>266</v>
      </c>
      <c r="C78" s="3">
        <v>153</v>
      </c>
      <c r="D78" s="3">
        <v>150</v>
      </c>
      <c r="E78" s="3">
        <v>8.5</v>
      </c>
      <c r="G78" s="3"/>
      <c r="H78" s="3"/>
      <c r="I78" s="3"/>
      <c r="J78" s="3"/>
      <c r="K78" s="3"/>
      <c r="L78" s="3"/>
      <c r="M78" s="3"/>
      <c r="N78" s="3"/>
    </row>
    <row r="79" spans="1:14" ht="14.25">
      <c r="A79" s="3" t="s">
        <v>743</v>
      </c>
      <c r="B79" s="3">
        <v>0</v>
      </c>
      <c r="C79" s="3">
        <v>0</v>
      </c>
      <c r="D79" s="3">
        <v>0</v>
      </c>
      <c r="E79" s="3">
        <v>0</v>
      </c>
      <c r="G79" s="3"/>
      <c r="H79" s="3"/>
      <c r="I79" s="3"/>
      <c r="J79" s="3"/>
      <c r="K79" s="3"/>
      <c r="L79" s="3"/>
      <c r="M79" s="3"/>
      <c r="N79" s="3"/>
    </row>
    <row r="80" spans="1:14" ht="14.25">
      <c r="A80" s="3" t="s">
        <v>744</v>
      </c>
      <c r="B80" s="3">
        <v>0</v>
      </c>
      <c r="C80" s="3">
        <v>0</v>
      </c>
      <c r="D80" s="3">
        <v>0</v>
      </c>
      <c r="E80" s="3">
        <v>0</v>
      </c>
      <c r="G80" s="3"/>
      <c r="H80" s="3"/>
      <c r="I80" s="3"/>
      <c r="J80" s="3"/>
      <c r="K80" s="3"/>
      <c r="L80" s="3"/>
      <c r="M80" s="3"/>
      <c r="N80" s="3"/>
    </row>
    <row r="81" spans="1:14" ht="14.25">
      <c r="A81" s="3" t="s">
        <v>745</v>
      </c>
      <c r="B81" s="3">
        <v>0</v>
      </c>
      <c r="C81" s="3">
        <v>0</v>
      </c>
      <c r="D81" s="3">
        <v>0</v>
      </c>
      <c r="E81" s="3">
        <v>0</v>
      </c>
      <c r="G81" s="3"/>
      <c r="H81" s="3"/>
      <c r="I81" s="3"/>
      <c r="J81" s="3"/>
      <c r="K81" s="3"/>
      <c r="L81" s="3"/>
      <c r="M81" s="3"/>
      <c r="N81" s="3"/>
    </row>
    <row r="82" spans="1:14" ht="14.25">
      <c r="A82" s="3" t="s">
        <v>746</v>
      </c>
      <c r="B82" s="3">
        <v>0</v>
      </c>
      <c r="C82" s="3">
        <v>0</v>
      </c>
      <c r="D82" s="3">
        <v>0</v>
      </c>
      <c r="E82" s="3">
        <v>91</v>
      </c>
      <c r="G82" s="3"/>
      <c r="H82" s="3"/>
      <c r="I82" s="3"/>
      <c r="J82" s="3"/>
      <c r="K82" s="3"/>
      <c r="L82" s="3"/>
      <c r="M82" s="3"/>
      <c r="N82" s="3"/>
    </row>
    <row r="83" spans="1:14" ht="14.25">
      <c r="A83" s="3" t="s">
        <v>747</v>
      </c>
      <c r="B83" s="3">
        <v>66400</v>
      </c>
      <c r="C83" s="3">
        <v>60144</v>
      </c>
      <c r="D83" s="3">
        <v>61000</v>
      </c>
      <c r="E83" s="3">
        <v>72000</v>
      </c>
      <c r="G83" s="3"/>
      <c r="H83" s="3"/>
      <c r="I83" s="3"/>
      <c r="J83" s="3"/>
      <c r="K83" s="3"/>
      <c r="L83" s="3"/>
      <c r="M83" s="3"/>
      <c r="N83" s="3"/>
    </row>
    <row r="84" spans="1:14" ht="14.25">
      <c r="A84" s="3" t="s">
        <v>748</v>
      </c>
      <c r="B84" s="3">
        <v>6286</v>
      </c>
      <c r="C84" s="3">
        <v>7079</v>
      </c>
      <c r="D84" s="3">
        <v>6900</v>
      </c>
      <c r="E84" s="3">
        <v>7800</v>
      </c>
      <c r="G84" s="3"/>
      <c r="H84" s="3"/>
      <c r="I84" s="3"/>
      <c r="J84" s="3"/>
      <c r="K84" s="3"/>
      <c r="L84" s="3"/>
      <c r="M84" s="3"/>
      <c r="N84" s="3"/>
    </row>
    <row r="85" spans="1:14" ht="14.25">
      <c r="A85" s="3" t="s">
        <v>749</v>
      </c>
      <c r="B85" s="3">
        <v>1075</v>
      </c>
      <c r="C85" s="3">
        <v>1236</v>
      </c>
      <c r="D85" s="3">
        <v>980</v>
      </c>
      <c r="E85" s="3">
        <v>1200</v>
      </c>
      <c r="G85" s="3"/>
      <c r="H85" s="3"/>
      <c r="I85" s="3"/>
      <c r="J85" s="3"/>
      <c r="K85" s="3"/>
      <c r="L85" s="3"/>
      <c r="M85" s="3"/>
      <c r="N85" s="3"/>
    </row>
    <row r="86" spans="1:14" ht="14.25">
      <c r="A86" s="3" t="s">
        <v>750</v>
      </c>
      <c r="B86" s="3">
        <v>2422</v>
      </c>
      <c r="C86" s="3">
        <v>2351</v>
      </c>
      <c r="D86" s="3">
        <v>1400</v>
      </c>
      <c r="E86" s="3">
        <v>1500</v>
      </c>
      <c r="G86" s="3"/>
      <c r="H86" s="3"/>
      <c r="I86" s="3"/>
      <c r="J86" s="3"/>
      <c r="K86" s="3"/>
      <c r="L86" s="3"/>
      <c r="M86" s="3"/>
      <c r="N86" s="3"/>
    </row>
    <row r="87" spans="1:14" ht="14.25">
      <c r="A87" s="3" t="s">
        <v>751</v>
      </c>
      <c r="B87" s="3">
        <v>2868</v>
      </c>
      <c r="C87" s="3">
        <v>2636</v>
      </c>
      <c r="D87" s="3">
        <v>4300</v>
      </c>
      <c r="E87" s="3">
        <v>3200</v>
      </c>
      <c r="G87" s="3"/>
      <c r="H87" s="3"/>
      <c r="I87" s="3"/>
      <c r="J87" s="3"/>
      <c r="K87" s="3"/>
      <c r="L87" s="3"/>
      <c r="M87" s="3"/>
      <c r="N87" s="3"/>
    </row>
    <row r="88" spans="1:14" ht="14.25">
      <c r="A88" s="3" t="s">
        <v>752</v>
      </c>
      <c r="B88" s="3">
        <v>671600</v>
      </c>
      <c r="C88" s="3">
        <v>429144</v>
      </c>
      <c r="D88" s="4">
        <v>417000</v>
      </c>
      <c r="E88" s="3">
        <v>1030000</v>
      </c>
      <c r="G88" s="3"/>
      <c r="H88" s="3"/>
      <c r="I88" s="3"/>
      <c r="J88" s="3"/>
      <c r="K88" s="3"/>
      <c r="L88" s="3"/>
      <c r="M88" s="3"/>
      <c r="N88" s="3"/>
    </row>
    <row r="89" spans="1:14" ht="14.25">
      <c r="A89" s="3" t="s">
        <v>753</v>
      </c>
      <c r="B89" s="3">
        <v>265</v>
      </c>
      <c r="C89" s="3">
        <v>192</v>
      </c>
      <c r="D89" s="3">
        <v>200</v>
      </c>
      <c r="E89" s="3">
        <v>130</v>
      </c>
      <c r="G89" s="3"/>
      <c r="H89" s="3"/>
      <c r="I89" s="3"/>
      <c r="J89" s="3"/>
      <c r="K89" s="3"/>
      <c r="L89" s="3"/>
      <c r="M89" s="3"/>
      <c r="N89" s="3"/>
    </row>
    <row r="90" spans="1:14" ht="14.25">
      <c r="A90" s="3" t="s">
        <v>754</v>
      </c>
      <c r="B90" s="3">
        <v>5840</v>
      </c>
      <c r="C90" s="3">
        <v>6384</v>
      </c>
      <c r="D90" s="3">
        <v>5700</v>
      </c>
      <c r="E90" s="3">
        <v>30000</v>
      </c>
      <c r="G90" s="3"/>
      <c r="H90" s="3"/>
      <c r="I90" s="3"/>
      <c r="J90" s="3"/>
      <c r="K90" s="3"/>
      <c r="L90" s="3"/>
      <c r="M90" s="3"/>
      <c r="N90" s="3"/>
    </row>
    <row r="91" spans="1:14" ht="14.25">
      <c r="A91" s="3" t="s">
        <v>755</v>
      </c>
      <c r="B91" s="3">
        <v>13</v>
      </c>
      <c r="C91" s="3">
        <v>28</v>
      </c>
      <c r="D91" s="3">
        <v>21</v>
      </c>
      <c r="E91" s="3">
        <v>40</v>
      </c>
      <c r="G91" s="3"/>
      <c r="H91" s="3"/>
      <c r="I91" s="3"/>
      <c r="J91" s="3"/>
      <c r="K91" s="3"/>
      <c r="L91" s="3"/>
      <c r="M91" s="3"/>
      <c r="N91" s="3"/>
    </row>
    <row r="92" spans="1:14" ht="14.25">
      <c r="A92" s="3" t="s">
        <v>756</v>
      </c>
      <c r="B92" s="3">
        <v>20004</v>
      </c>
      <c r="C92" s="3">
        <v>19981</v>
      </c>
      <c r="D92" s="3">
        <v>31000</v>
      </c>
      <c r="E92" s="3">
        <v>90000</v>
      </c>
      <c r="G92" s="3"/>
      <c r="H92" s="3"/>
      <c r="I92" s="3"/>
      <c r="J92" s="3"/>
      <c r="K92" s="3"/>
      <c r="L92" s="3"/>
      <c r="M92" s="3"/>
      <c r="N92" s="3"/>
    </row>
    <row r="93" spans="1:14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ht="12.75" customHeight="1">
      <c r="A97" s="2" t="s">
        <v>642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2.75" customHeight="1">
      <c r="A98" s="5"/>
      <c r="B98" s="6" t="s">
        <v>643</v>
      </c>
      <c r="C98" s="6" t="s">
        <v>644</v>
      </c>
      <c r="D98" s="6" t="s">
        <v>645</v>
      </c>
      <c r="E98" s="6" t="s">
        <v>646</v>
      </c>
      <c r="F98" s="3"/>
      <c r="G98" s="3"/>
      <c r="H98" s="3"/>
      <c r="I98" s="3"/>
      <c r="J98" s="3"/>
      <c r="K98" s="3"/>
      <c r="L98" s="3"/>
      <c r="M98" s="3"/>
      <c r="N98" s="3"/>
    </row>
    <row r="99" spans="1:14" ht="12.75" customHeight="1">
      <c r="A99" s="7" t="s">
        <v>647</v>
      </c>
      <c r="B99" s="5">
        <v>1090</v>
      </c>
      <c r="C99" s="5">
        <v>236000</v>
      </c>
      <c r="D99" s="5">
        <v>3190000</v>
      </c>
      <c r="E99" s="5">
        <f>(D99+C99+B99)</f>
        <v>3427090</v>
      </c>
      <c r="F99" s="3"/>
      <c r="G99" s="3"/>
      <c r="H99" s="3"/>
      <c r="I99" s="3"/>
      <c r="J99" s="3"/>
      <c r="K99" s="3"/>
      <c r="L99" s="3"/>
      <c r="M99" s="3"/>
      <c r="N99" s="3"/>
    </row>
    <row r="100" spans="1:14" ht="12.75" customHeight="1">
      <c r="A100" s="7"/>
      <c r="B100" s="6" t="s">
        <v>643</v>
      </c>
      <c r="C100" s="6" t="s">
        <v>644</v>
      </c>
      <c r="D100" s="6" t="s">
        <v>645</v>
      </c>
      <c r="E100" s="6" t="s">
        <v>646</v>
      </c>
      <c r="F100" s="3"/>
      <c r="G100" s="3"/>
      <c r="H100" s="3"/>
      <c r="I100" s="3"/>
      <c r="J100" s="3"/>
      <c r="K100" s="3"/>
      <c r="L100" s="3"/>
      <c r="M100" s="3"/>
      <c r="N100" s="3"/>
    </row>
    <row r="101" spans="1:14" ht="12.75" customHeight="1">
      <c r="A101" s="7" t="s">
        <v>648</v>
      </c>
      <c r="B101" s="8">
        <v>2900</v>
      </c>
      <c r="C101" s="8">
        <v>270000</v>
      </c>
      <c r="D101" s="8">
        <v>3600000</v>
      </c>
      <c r="E101" s="5">
        <f>(D101+C101+B101)</f>
        <v>3872900</v>
      </c>
      <c r="F101" s="3"/>
      <c r="G101" s="3"/>
      <c r="H101" s="3"/>
      <c r="I101" s="3"/>
      <c r="J101" s="3"/>
      <c r="K101" s="3"/>
      <c r="L101" s="3"/>
      <c r="M101" s="3"/>
      <c r="N101" s="3"/>
    </row>
    <row r="102" spans="1:14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ht="12.75" customHeight="1">
      <c r="A103" s="3"/>
      <c r="B103" s="6" t="s">
        <v>649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ht="12.75" customHeight="1">
      <c r="A104" s="2" t="s">
        <v>650</v>
      </c>
      <c r="B104" s="9">
        <v>1235969.5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ht="12.75" customHeight="1">
      <c r="A105" s="2" t="s">
        <v>651</v>
      </c>
      <c r="B105" s="8">
        <v>227100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2.75" customHeight="1">
      <c r="A106" s="2" t="s">
        <v>652</v>
      </c>
      <c r="B106" s="8">
        <v>1941640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ht="12.75" customHeight="1">
      <c r="A107" s="2" t="s">
        <v>653</v>
      </c>
      <c r="B107" s="8">
        <v>330086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ht="12.75" customHeight="1">
      <c r="A108" s="2" t="s">
        <v>517</v>
      </c>
      <c r="B108" s="8">
        <v>134100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ht="12.75" customHeight="1">
      <c r="A109" s="2" t="s">
        <v>646</v>
      </c>
      <c r="B109" s="5">
        <f>(B108+B107+B106+B105+B104)</f>
        <v>3868895.5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ht="12.75" customHeight="1">
      <c r="A114" s="3" t="s">
        <v>518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ht="12.75" customHeight="1">
      <c r="A116" s="10"/>
      <c r="B116" s="11">
        <v>1991</v>
      </c>
      <c r="C116" s="11">
        <v>1994</v>
      </c>
      <c r="D116" s="11">
        <v>1998</v>
      </c>
      <c r="E116" s="3">
        <v>2001</v>
      </c>
      <c r="F116" s="3">
        <v>2004</v>
      </c>
      <c r="G116" s="3">
        <v>2007</v>
      </c>
      <c r="H116" s="3">
        <v>2010</v>
      </c>
      <c r="I116" s="3"/>
      <c r="J116" s="3"/>
      <c r="K116" s="3"/>
      <c r="L116" s="3"/>
      <c r="M116" s="3"/>
      <c r="N116" s="3"/>
    </row>
    <row r="117" spans="1:14" ht="12.75" customHeight="1">
      <c r="A117" s="12" t="s">
        <v>645</v>
      </c>
      <c r="B117" s="3">
        <v>1.42</v>
      </c>
      <c r="C117" s="3">
        <v>1.907</v>
      </c>
      <c r="D117" s="3">
        <v>1.8620000000000001</v>
      </c>
      <c r="E117" s="3">
        <v>1.508</v>
      </c>
      <c r="F117" s="3">
        <v>2.06</v>
      </c>
      <c r="G117" s="3">
        <v>3.19</v>
      </c>
      <c r="H117" s="3">
        <v>4.43</v>
      </c>
      <c r="I117" s="3"/>
      <c r="J117" s="3"/>
      <c r="K117" s="3"/>
      <c r="L117" s="3"/>
      <c r="M117" s="3"/>
      <c r="N117" s="3"/>
    </row>
    <row r="118" spans="1:14" ht="12.75" customHeight="1">
      <c r="A118" s="3" t="s">
        <v>646</v>
      </c>
      <c r="B118" s="3">
        <v>1.6359999999999999</v>
      </c>
      <c r="C118" s="3">
        <v>2.1989999999999998</v>
      </c>
      <c r="D118" s="3">
        <v>2.0779999999999998</v>
      </c>
      <c r="E118" s="3">
        <v>1.7470000000000001</v>
      </c>
      <c r="F118" s="3">
        <v>2.27</v>
      </c>
      <c r="G118" s="3">
        <v>3.43</v>
      </c>
      <c r="H118" s="3">
        <v>4.7</v>
      </c>
      <c r="I118" s="3"/>
      <c r="J118" s="3"/>
      <c r="K118" s="3"/>
      <c r="L118" s="3"/>
      <c r="M118" s="3"/>
      <c r="N118" s="3"/>
    </row>
    <row r="119" spans="1:14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ht="12.75" customHeight="1">
      <c r="A120" s="3" t="s">
        <v>544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ht="12.75" customHeight="1">
      <c r="A121" s="3"/>
      <c r="B121" s="3">
        <v>1991</v>
      </c>
      <c r="C121" s="3">
        <v>1994</v>
      </c>
      <c r="D121" s="3">
        <v>1998</v>
      </c>
      <c r="E121" s="3">
        <v>2001</v>
      </c>
      <c r="F121" s="3">
        <v>2004</v>
      </c>
      <c r="G121" s="3">
        <v>2007</v>
      </c>
      <c r="H121" s="3">
        <v>2010</v>
      </c>
      <c r="I121" s="3"/>
      <c r="J121" s="3"/>
      <c r="K121" s="3"/>
      <c r="L121" s="3"/>
      <c r="M121" s="3"/>
      <c r="N121" s="3"/>
    </row>
    <row r="122" spans="1:14" ht="12.75" customHeight="1">
      <c r="A122" s="3" t="s">
        <v>645</v>
      </c>
      <c r="B122" s="3">
        <v>0.26400000000000001</v>
      </c>
      <c r="C122" s="3">
        <v>0.997</v>
      </c>
      <c r="D122" s="3">
        <v>0.69799999999999995</v>
      </c>
      <c r="E122" s="3">
        <v>0.52900000000000003</v>
      </c>
      <c r="F122" s="3">
        <v>0.45400000000000001</v>
      </c>
      <c r="G122" s="3">
        <v>1.1499999999999999</v>
      </c>
      <c r="H122" s="3">
        <v>0.77700000000000002</v>
      </c>
      <c r="I122" s="3">
        <f>AVERAGE(D122:H122)</f>
        <v>0.72159999999999991</v>
      </c>
      <c r="J122" s="3"/>
      <c r="K122" s="3"/>
      <c r="L122" s="3"/>
      <c r="M122" s="3"/>
      <c r="N122" s="3"/>
    </row>
    <row r="123" spans="1:14" ht="12.75" customHeight="1">
      <c r="A123" s="3" t="s">
        <v>644</v>
      </c>
      <c r="B123" s="3">
        <v>0.14099999999999999</v>
      </c>
      <c r="C123" s="3">
        <v>0.11799999999999999</v>
      </c>
      <c r="D123" s="3">
        <v>7.9000000000000001E-2</v>
      </c>
      <c r="E123" s="3">
        <v>7.2999999999999995E-2</v>
      </c>
      <c r="F123" s="3">
        <v>7.4999999999999997E-2</v>
      </c>
      <c r="G123" s="3">
        <v>8.5999999999999993E-2</v>
      </c>
      <c r="H123" s="3">
        <v>0.10199999999999999</v>
      </c>
      <c r="I123" s="3">
        <f>AVERAGE(D123:H123)</f>
        <v>8.299999999999999E-2</v>
      </c>
      <c r="J123" s="3"/>
      <c r="K123" s="3"/>
      <c r="L123" s="3"/>
      <c r="M123" s="3"/>
      <c r="N123" s="3"/>
    </row>
    <row r="124" spans="1:1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ht="12.75" customHeight="1">
      <c r="A126" s="3" t="s">
        <v>509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ht="12.75" customHeight="1">
      <c r="A127" s="3" t="s">
        <v>545</v>
      </c>
      <c r="B127" s="3" t="s">
        <v>647</v>
      </c>
      <c r="C127" s="3" t="s">
        <v>647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ht="12.75" customHeight="1">
      <c r="A128" s="3"/>
      <c r="B128" s="3" t="s">
        <v>352</v>
      </c>
      <c r="C128" s="3" t="s">
        <v>508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ht="12.75" customHeight="1">
      <c r="A129" s="3">
        <v>97</v>
      </c>
      <c r="B129" s="3">
        <v>9200</v>
      </c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ht="12.75" customHeight="1">
      <c r="A130" s="3">
        <v>98</v>
      </c>
      <c r="B130" s="3">
        <v>12600</v>
      </c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ht="12.75" customHeight="1">
      <c r="A131" s="3">
        <v>99</v>
      </c>
      <c r="B131" s="3">
        <v>8000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2.75" customHeight="1">
      <c r="A132" s="3">
        <v>0</v>
      </c>
      <c r="B132" s="3">
        <v>8400</v>
      </c>
      <c r="C132" s="3">
        <v>8400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ht="12.75" customHeight="1">
      <c r="A133" s="3">
        <v>1</v>
      </c>
      <c r="B133" s="3">
        <v>6100</v>
      </c>
      <c r="C133" s="3">
        <v>6100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ht="12.75" customHeight="1">
      <c r="A134" s="3">
        <v>2</v>
      </c>
      <c r="B134" s="3">
        <v>10800</v>
      </c>
      <c r="C134" s="3">
        <v>10800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ht="12.75" customHeight="1">
      <c r="A135" s="3">
        <v>3</v>
      </c>
      <c r="B135" s="3">
        <v>11400</v>
      </c>
      <c r="C135" s="3">
        <v>11400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ht="12.75" customHeight="1">
      <c r="A136" s="3">
        <v>4</v>
      </c>
      <c r="B136" s="3">
        <v>12900</v>
      </c>
      <c r="C136" s="3">
        <v>12900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ht="12.75" customHeight="1">
      <c r="A137" s="3">
        <v>5</v>
      </c>
      <c r="B137" s="3">
        <v>12800</v>
      </c>
      <c r="C137" s="3">
        <v>12800</v>
      </c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ht="12.75" customHeight="1">
      <c r="A138" s="3">
        <v>6</v>
      </c>
      <c r="B138" s="3">
        <v>12900</v>
      </c>
      <c r="C138" s="3">
        <v>12900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ht="12.75" customHeight="1">
      <c r="A139" s="3">
        <v>7</v>
      </c>
      <c r="B139" s="3">
        <v>15400</v>
      </c>
      <c r="C139" s="3">
        <v>9100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12.75" customHeight="1">
      <c r="A140" s="3">
        <v>8</v>
      </c>
      <c r="B140" s="3">
        <v>14500</v>
      </c>
      <c r="C140" s="3">
        <v>8600</v>
      </c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ht="12.75" customHeight="1">
      <c r="A141" s="3">
        <v>9</v>
      </c>
      <c r="B141" s="3">
        <v>14600</v>
      </c>
      <c r="C141" s="3">
        <v>7000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 ht="12.75" customHeight="1">
      <c r="A142" s="3">
        <v>10</v>
      </c>
      <c r="B142" s="3">
        <v>14500</v>
      </c>
      <c r="C142" s="3">
        <v>11200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ht="12.75" customHeight="1">
      <c r="A143" s="3">
        <v>11</v>
      </c>
      <c r="B143" s="3">
        <v>14900</v>
      </c>
      <c r="C143" s="3">
        <v>10900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ht="12.75" customHeight="1">
      <c r="A144" s="3">
        <v>12</v>
      </c>
      <c r="B144" s="3">
        <v>13200</v>
      </c>
      <c r="C144" s="3">
        <v>9170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12.75" customHeight="1">
      <c r="A145" s="3">
        <v>13</v>
      </c>
      <c r="B145" s="3"/>
      <c r="C145" s="3">
        <v>8760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ht="12.75" customHeight="1">
      <c r="A146" s="3">
        <v>14</v>
      </c>
      <c r="B146" s="3"/>
      <c r="C146" s="3">
        <v>7740</v>
      </c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ht="12.75" customHeight="1">
      <c r="A147" s="3">
        <v>15</v>
      </c>
      <c r="B147" s="3"/>
      <c r="C147" s="3">
        <v>8320</v>
      </c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ht="12.75" customHeight="1">
      <c r="A152" s="294" t="s">
        <v>179</v>
      </c>
      <c r="B152" s="294"/>
      <c r="C152" s="294"/>
      <c r="D152" s="294"/>
      <c r="E152" s="295"/>
      <c r="F152" s="3"/>
      <c r="G152" s="3"/>
      <c r="H152" s="3"/>
      <c r="I152" s="3"/>
      <c r="J152" s="3"/>
      <c r="K152" s="3"/>
      <c r="L152" s="3"/>
      <c r="M152" s="3"/>
      <c r="N152" s="3"/>
    </row>
    <row r="153" spans="1:14" ht="12.75" customHeight="1">
      <c r="A153" s="296" t="s">
        <v>545</v>
      </c>
      <c r="B153" s="297"/>
      <c r="C153" s="296" t="s">
        <v>510</v>
      </c>
      <c r="D153" s="296" t="s">
        <v>510</v>
      </c>
      <c r="E153" s="296" t="s">
        <v>510</v>
      </c>
      <c r="F153" s="3"/>
      <c r="G153" s="3"/>
      <c r="H153" s="3"/>
      <c r="I153" s="3"/>
      <c r="J153" s="3"/>
      <c r="K153" s="3"/>
      <c r="L153" s="3"/>
      <c r="M153" s="3"/>
      <c r="N153" s="3"/>
    </row>
    <row r="154" spans="1:14" ht="12.75" customHeight="1">
      <c r="A154" s="296"/>
      <c r="B154" s="297"/>
      <c r="C154" s="296" t="s">
        <v>166</v>
      </c>
      <c r="D154" s="296" t="s">
        <v>165</v>
      </c>
      <c r="E154" s="296" t="s">
        <v>646</v>
      </c>
      <c r="F154" s="3"/>
      <c r="G154" s="3"/>
      <c r="H154" s="3"/>
      <c r="I154" s="3"/>
      <c r="J154" s="3"/>
      <c r="K154" s="3"/>
      <c r="L154" s="3"/>
      <c r="M154" s="3"/>
      <c r="N154" s="3"/>
    </row>
    <row r="155" spans="1:14" ht="12.75" customHeight="1">
      <c r="A155" s="296">
        <v>2010</v>
      </c>
      <c r="B155" s="297">
        <v>2020</v>
      </c>
      <c r="C155" s="296">
        <v>19800</v>
      </c>
      <c r="D155" s="296">
        <v>396100</v>
      </c>
      <c r="E155" s="296">
        <f>SUM(C155:D155)</f>
        <v>415900</v>
      </c>
      <c r="F155" s="3"/>
      <c r="G155" s="3"/>
      <c r="H155" s="3"/>
      <c r="I155" s="3"/>
      <c r="J155" s="3"/>
      <c r="K155" s="3"/>
      <c r="L155" s="3"/>
      <c r="M155" s="3"/>
      <c r="N155" s="3"/>
    </row>
    <row r="156" spans="1:14" ht="12.75" customHeight="1">
      <c r="A156" s="296">
        <v>2020</v>
      </c>
      <c r="B156" s="297">
        <v>2030</v>
      </c>
      <c r="C156" s="296">
        <v>17400</v>
      </c>
      <c r="D156" s="296">
        <v>305000</v>
      </c>
      <c r="E156" s="296">
        <f>SUM(C156:D156)</f>
        <v>322400</v>
      </c>
      <c r="F156" s="3"/>
      <c r="G156" s="3"/>
      <c r="H156" s="3"/>
      <c r="I156" s="3"/>
      <c r="J156" s="3"/>
      <c r="K156" s="3"/>
      <c r="L156" s="3"/>
      <c r="M156" s="3"/>
      <c r="N156" s="3"/>
    </row>
    <row r="157" spans="1:14" ht="12.75" customHeight="1">
      <c r="A157" s="296">
        <v>2030</v>
      </c>
      <c r="B157" s="297">
        <v>2040</v>
      </c>
      <c r="C157" s="296">
        <v>21600</v>
      </c>
      <c r="D157" s="296">
        <v>220000</v>
      </c>
      <c r="E157" s="296">
        <f t="shared" ref="E157:E165" si="0">SUM(C157:D157)</f>
        <v>241600</v>
      </c>
      <c r="F157" s="3"/>
      <c r="G157" s="3"/>
      <c r="H157" s="3"/>
      <c r="I157" s="3"/>
      <c r="J157" s="3"/>
      <c r="K157" s="3"/>
      <c r="L157" s="3"/>
      <c r="M157" s="3"/>
      <c r="N157" s="3"/>
    </row>
    <row r="158" spans="1:14" ht="12.75" customHeight="1">
      <c r="A158" s="296">
        <v>2040</v>
      </c>
      <c r="B158" s="297">
        <v>2050</v>
      </c>
      <c r="C158" s="296">
        <f>+(40500/2)</f>
        <v>20250</v>
      </c>
      <c r="D158" s="296">
        <f>(893000/2)</f>
        <v>446500</v>
      </c>
      <c r="E158" s="296">
        <f t="shared" si="0"/>
        <v>466750</v>
      </c>
      <c r="F158" s="3"/>
      <c r="G158" s="3"/>
      <c r="H158" s="3"/>
      <c r="I158" s="3"/>
      <c r="J158" s="3"/>
      <c r="K158" s="3"/>
      <c r="L158" s="3"/>
      <c r="M158" s="3"/>
      <c r="N158" s="3"/>
    </row>
    <row r="159" spans="1:14" ht="12.75" customHeight="1">
      <c r="A159" s="296">
        <v>2050</v>
      </c>
      <c r="B159" s="297">
        <v>2060</v>
      </c>
      <c r="C159" s="296">
        <f>+(40500/2)</f>
        <v>20250</v>
      </c>
      <c r="D159" s="296">
        <f>(893000/2)</f>
        <v>446500</v>
      </c>
      <c r="E159" s="296">
        <f>SUM(C159:D159)</f>
        <v>466750</v>
      </c>
      <c r="F159" s="3"/>
      <c r="G159" s="3"/>
      <c r="H159" s="3"/>
      <c r="I159" s="3"/>
      <c r="J159" s="3"/>
      <c r="K159" s="3"/>
      <c r="L159" s="3"/>
      <c r="M159" s="3"/>
      <c r="N159" s="3"/>
    </row>
    <row r="160" spans="1:14" ht="12.75" customHeight="1">
      <c r="A160" s="296">
        <v>2060</v>
      </c>
      <c r="B160" s="297">
        <v>2070</v>
      </c>
      <c r="C160" s="296">
        <f>+(65200/4)</f>
        <v>16300</v>
      </c>
      <c r="D160" s="296">
        <f>(1490000/4)</f>
        <v>372500</v>
      </c>
      <c r="E160" s="296">
        <f t="shared" si="0"/>
        <v>388800</v>
      </c>
      <c r="F160" s="3"/>
      <c r="G160" s="3"/>
      <c r="H160" s="3"/>
      <c r="I160" s="3"/>
      <c r="J160" s="3"/>
      <c r="K160" s="3"/>
      <c r="L160" s="3"/>
      <c r="M160" s="3"/>
      <c r="N160" s="3"/>
    </row>
    <row r="161" spans="1:14" ht="12.75" customHeight="1">
      <c r="A161" s="296">
        <v>2070</v>
      </c>
      <c r="B161" s="297">
        <v>2080</v>
      </c>
      <c r="C161" s="296">
        <f>+(65200/4)</f>
        <v>16300</v>
      </c>
      <c r="D161" s="296">
        <f>(1490000/4)</f>
        <v>372500</v>
      </c>
      <c r="E161" s="296">
        <f t="shared" si="0"/>
        <v>388800</v>
      </c>
      <c r="F161" s="3"/>
      <c r="G161" s="3"/>
      <c r="H161" s="3"/>
      <c r="I161" s="3"/>
      <c r="J161" s="3"/>
      <c r="K161" s="3"/>
      <c r="L161" s="3"/>
      <c r="M161" s="3"/>
      <c r="N161" s="3"/>
    </row>
    <row r="162" spans="1:14" ht="12.75" customHeight="1">
      <c r="A162" s="296">
        <v>2080</v>
      </c>
      <c r="B162" s="297">
        <v>2090</v>
      </c>
      <c r="C162" s="296">
        <f>+(65200/4)</f>
        <v>16300</v>
      </c>
      <c r="D162" s="296">
        <f>(1490000/4)</f>
        <v>372500</v>
      </c>
      <c r="E162" s="296">
        <f t="shared" si="0"/>
        <v>388800</v>
      </c>
      <c r="F162" s="3"/>
      <c r="G162" s="3"/>
      <c r="H162" s="3"/>
      <c r="I162" s="3"/>
      <c r="J162" s="3"/>
      <c r="K162" s="3"/>
      <c r="L162" s="3"/>
      <c r="M162" s="3"/>
      <c r="N162" s="3"/>
    </row>
    <row r="163" spans="1:14" ht="12.75" customHeight="1">
      <c r="A163" s="296">
        <v>2090</v>
      </c>
      <c r="B163" s="297">
        <v>2100</v>
      </c>
      <c r="C163" s="296">
        <f>+(65200/4)</f>
        <v>16300</v>
      </c>
      <c r="D163" s="296">
        <f>(1490000/4)</f>
        <v>372500</v>
      </c>
      <c r="E163" s="296">
        <f t="shared" si="0"/>
        <v>388800</v>
      </c>
      <c r="F163" s="3"/>
      <c r="G163" s="3"/>
      <c r="H163" s="3"/>
      <c r="I163" s="3"/>
      <c r="J163" s="3"/>
      <c r="K163" s="3"/>
      <c r="L163" s="3"/>
      <c r="M163" s="3"/>
      <c r="N163" s="3"/>
    </row>
    <row r="164" spans="1:14" ht="12.75" customHeight="1">
      <c r="A164" s="296">
        <v>2100</v>
      </c>
      <c r="B164" s="297">
        <v>2110</v>
      </c>
      <c r="C164" s="296">
        <f>(27800/2)</f>
        <v>13900</v>
      </c>
      <c r="D164" s="296">
        <f>(1060000/2)</f>
        <v>530000</v>
      </c>
      <c r="E164" s="296">
        <f>SUM(C164:D164)</f>
        <v>543900</v>
      </c>
      <c r="F164" s="3"/>
      <c r="G164" s="3"/>
      <c r="H164" s="3"/>
      <c r="I164" s="3"/>
      <c r="J164" s="3"/>
      <c r="K164" s="3"/>
      <c r="L164" s="3"/>
      <c r="M164" s="3"/>
      <c r="N164" s="3"/>
    </row>
    <row r="165" spans="1:14" ht="12.75" customHeight="1">
      <c r="A165" s="296">
        <v>2110</v>
      </c>
      <c r="B165" s="297">
        <v>2120</v>
      </c>
      <c r="C165" s="296">
        <f>(27800/2)</f>
        <v>13900</v>
      </c>
      <c r="D165" s="296">
        <f>(1060000/2)</f>
        <v>530000</v>
      </c>
      <c r="E165" s="296">
        <f t="shared" si="0"/>
        <v>543900</v>
      </c>
      <c r="F165" s="3"/>
      <c r="G165" s="3"/>
      <c r="H165" s="3"/>
      <c r="I165" s="3"/>
      <c r="J165" s="3"/>
      <c r="K165" s="3"/>
      <c r="L165" s="3"/>
      <c r="M165" s="3"/>
      <c r="N165" s="3"/>
    </row>
    <row r="166" spans="1:14" ht="12.75" customHeight="1">
      <c r="A166" s="296" t="s">
        <v>646</v>
      </c>
      <c r="B166" s="297"/>
      <c r="C166" s="296">
        <f>SUM(C155:C165)</f>
        <v>192300</v>
      </c>
      <c r="D166" s="296">
        <f>SUM(D155:D165)</f>
        <v>4364100</v>
      </c>
      <c r="E166" s="296">
        <f>SUM(E155:E165)</f>
        <v>4556400</v>
      </c>
      <c r="F166" s="3"/>
      <c r="G166" s="3"/>
      <c r="H166" s="3"/>
      <c r="I166" s="3"/>
      <c r="J166" s="3"/>
      <c r="K166" s="3"/>
      <c r="L166" s="3"/>
      <c r="M166" s="3"/>
      <c r="N166" s="3"/>
    </row>
    <row r="167" spans="1:14" ht="12.75" customHeight="1">
      <c r="A167" s="66" t="s">
        <v>678</v>
      </c>
      <c r="B167" s="66"/>
      <c r="C167" s="66"/>
      <c r="D167" s="66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1:14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1:14" ht="12.75" customHeight="1">
      <c r="A169" s="65" t="s">
        <v>735</v>
      </c>
      <c r="B169" s="65"/>
      <c r="C169" s="65"/>
      <c r="D169" s="65"/>
      <c r="E169" s="65"/>
      <c r="F169" s="3"/>
      <c r="G169" s="3"/>
      <c r="H169" s="3"/>
      <c r="I169" s="3"/>
      <c r="J169" s="3"/>
      <c r="K169" s="3"/>
      <c r="L169" s="3"/>
      <c r="M169" s="3"/>
      <c r="N169" s="3"/>
    </row>
    <row r="170" spans="1:14" ht="26.25" customHeight="1">
      <c r="A170" s="292" t="s">
        <v>677</v>
      </c>
      <c r="B170" s="292"/>
      <c r="C170" s="292" t="s">
        <v>736</v>
      </c>
      <c r="D170" s="292" t="s">
        <v>164</v>
      </c>
      <c r="E170" s="292" t="s">
        <v>738</v>
      </c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2.75" customHeight="1">
      <c r="A171" s="291">
        <v>2010</v>
      </c>
      <c r="B171" s="291">
        <v>2020</v>
      </c>
      <c r="C171" s="293">
        <v>40000</v>
      </c>
      <c r="D171" s="291">
        <f t="shared" ref="D171:D176" si="1">(B171-A171)*C171</f>
        <v>400000</v>
      </c>
      <c r="E171" s="291"/>
      <c r="F171" s="3"/>
      <c r="G171" s="3"/>
      <c r="H171" s="3"/>
      <c r="I171" s="3"/>
      <c r="J171" s="3"/>
      <c r="K171" s="3"/>
      <c r="L171" s="3"/>
      <c r="M171" s="3"/>
      <c r="N171" s="3"/>
    </row>
    <row r="172" spans="1:14" ht="12.75" customHeight="1">
      <c r="A172" s="291">
        <v>2020</v>
      </c>
      <c r="B172" s="291">
        <v>2030</v>
      </c>
      <c r="C172" s="293">
        <v>30000</v>
      </c>
      <c r="D172" s="291">
        <f t="shared" si="1"/>
        <v>300000</v>
      </c>
      <c r="E172" s="291">
        <f>(D171+D172)</f>
        <v>700000</v>
      </c>
      <c r="F172" s="3"/>
      <c r="G172" s="3"/>
      <c r="H172" s="3"/>
      <c r="I172" s="3"/>
      <c r="J172" s="3"/>
      <c r="K172" s="3"/>
      <c r="L172" s="3"/>
      <c r="M172" s="3"/>
      <c r="N172" s="3"/>
    </row>
    <row r="173" spans="1:14" ht="12.75" customHeight="1">
      <c r="A173" s="291">
        <v>2030</v>
      </c>
      <c r="B173" s="291">
        <v>2040</v>
      </c>
      <c r="C173" s="293">
        <v>22000</v>
      </c>
      <c r="D173" s="291">
        <f t="shared" si="1"/>
        <v>220000</v>
      </c>
      <c r="E173" s="291">
        <f>(E172+D173)</f>
        <v>920000</v>
      </c>
      <c r="F173" s="3"/>
      <c r="G173" s="3"/>
      <c r="H173" s="3"/>
      <c r="I173" s="3"/>
      <c r="J173" s="3"/>
      <c r="K173" s="3"/>
      <c r="L173" s="3"/>
      <c r="M173" s="3"/>
      <c r="N173" s="3"/>
    </row>
    <row r="174" spans="1:14" ht="12.75" customHeight="1">
      <c r="A174" s="291">
        <v>2040</v>
      </c>
      <c r="B174" s="291">
        <v>2050</v>
      </c>
      <c r="C174" s="293">
        <v>54000</v>
      </c>
      <c r="D174" s="291">
        <f t="shared" si="1"/>
        <v>540000</v>
      </c>
      <c r="E174" s="291">
        <f t="shared" ref="E174:E179" si="2">(E173+D174)</f>
        <v>1460000</v>
      </c>
      <c r="F174" s="3"/>
      <c r="G174" s="3"/>
      <c r="H174" s="3"/>
      <c r="I174" s="3"/>
      <c r="J174" s="3"/>
      <c r="K174" s="3"/>
      <c r="L174" s="3"/>
      <c r="M174" s="3"/>
      <c r="N174" s="3"/>
    </row>
    <row r="175" spans="1:14" ht="12.75" customHeight="1">
      <c r="A175" s="291">
        <v>2050</v>
      </c>
      <c r="B175" s="291">
        <v>2060</v>
      </c>
      <c r="C175" s="293">
        <v>35000</v>
      </c>
      <c r="D175" s="291">
        <f t="shared" si="1"/>
        <v>350000</v>
      </c>
      <c r="E175" s="291">
        <f t="shared" si="2"/>
        <v>1810000</v>
      </c>
      <c r="F175" s="3"/>
      <c r="G175" s="3"/>
      <c r="H175" s="3"/>
      <c r="I175" s="3"/>
      <c r="J175" s="3"/>
      <c r="K175" s="3"/>
      <c r="L175" s="3"/>
      <c r="M175" s="3"/>
      <c r="N175" s="3"/>
    </row>
    <row r="176" spans="1:14" ht="12.75" customHeight="1">
      <c r="A176" s="291">
        <v>2060</v>
      </c>
      <c r="B176" s="291">
        <v>2070</v>
      </c>
      <c r="C176" s="293">
        <v>35000</v>
      </c>
      <c r="D176" s="291">
        <f t="shared" si="1"/>
        <v>350000</v>
      </c>
      <c r="E176" s="291">
        <f t="shared" si="2"/>
        <v>2160000</v>
      </c>
      <c r="F176" s="3"/>
      <c r="G176" s="3"/>
      <c r="H176" s="3"/>
      <c r="I176" s="3"/>
      <c r="J176" s="3"/>
      <c r="K176" s="3"/>
      <c r="L176" s="3"/>
      <c r="M176" s="3"/>
      <c r="N176" s="3"/>
    </row>
    <row r="177" spans="1:14" ht="12.75" customHeight="1">
      <c r="A177" s="291">
        <v>2070</v>
      </c>
      <c r="B177" s="291">
        <v>2080</v>
      </c>
      <c r="C177" s="293">
        <v>43000</v>
      </c>
      <c r="D177" s="291">
        <f>(B177-A177)*C177</f>
        <v>430000</v>
      </c>
      <c r="E177" s="291">
        <f t="shared" si="2"/>
        <v>2590000</v>
      </c>
      <c r="F177" s="3"/>
      <c r="G177" s="3"/>
      <c r="H177" s="3"/>
      <c r="I177" s="3"/>
      <c r="J177" s="3"/>
      <c r="K177" s="3"/>
      <c r="L177" s="3"/>
      <c r="M177" s="3"/>
      <c r="N177" s="3"/>
    </row>
    <row r="178" spans="1:14" ht="12.75" customHeight="1">
      <c r="A178" s="291">
        <v>2080</v>
      </c>
      <c r="B178" s="291">
        <v>2090</v>
      </c>
      <c r="C178" s="293">
        <v>43000</v>
      </c>
      <c r="D178" s="291">
        <f>(B178-A178)*C178</f>
        <v>430000</v>
      </c>
      <c r="E178" s="291">
        <f t="shared" si="2"/>
        <v>3020000</v>
      </c>
      <c r="F178" s="3"/>
      <c r="G178" s="3"/>
      <c r="H178" s="3"/>
      <c r="I178" s="3"/>
      <c r="J178" s="3"/>
      <c r="K178" s="3"/>
      <c r="L178" s="3"/>
      <c r="M178" s="3"/>
      <c r="N178" s="3"/>
    </row>
    <row r="179" spans="1:14" ht="12.75" customHeight="1">
      <c r="A179" s="291">
        <v>2090</v>
      </c>
      <c r="B179" s="291">
        <v>2100</v>
      </c>
      <c r="C179" s="293">
        <v>43000</v>
      </c>
      <c r="D179" s="291">
        <f>(B179-A179)*C179</f>
        <v>430000</v>
      </c>
      <c r="E179" s="291">
        <f t="shared" si="2"/>
        <v>3450000</v>
      </c>
      <c r="F179" s="3"/>
      <c r="G179" s="3"/>
      <c r="H179" s="3"/>
      <c r="I179" s="3"/>
      <c r="J179" s="3"/>
      <c r="K179" s="3"/>
      <c r="L179" s="3"/>
      <c r="M179" s="3"/>
      <c r="N179" s="3"/>
    </row>
    <row r="180" spans="1:14" ht="12.75" customHeight="1">
      <c r="A180" s="291">
        <v>2100</v>
      </c>
      <c r="B180" s="291">
        <v>2110</v>
      </c>
      <c r="C180" s="293">
        <v>43000</v>
      </c>
      <c r="D180" s="291">
        <f>(B180-A180)*C180</f>
        <v>430000</v>
      </c>
      <c r="E180" s="291">
        <f>(E179+D180)</f>
        <v>3880000</v>
      </c>
      <c r="F180" s="3"/>
      <c r="G180" s="3"/>
      <c r="H180" s="3"/>
      <c r="I180" s="3"/>
      <c r="J180" s="3"/>
      <c r="K180" s="3"/>
      <c r="L180" s="3"/>
      <c r="M180" s="3"/>
      <c r="N180" s="3"/>
    </row>
    <row r="181" spans="1:14" ht="12.75" customHeight="1">
      <c r="A181" s="291">
        <v>2110</v>
      </c>
      <c r="B181" s="291">
        <v>2120</v>
      </c>
      <c r="C181" s="293">
        <v>43000</v>
      </c>
      <c r="D181" s="291">
        <f>(B181-A181)*C181</f>
        <v>430000</v>
      </c>
      <c r="E181" s="291">
        <f>(E180+D181)</f>
        <v>4310000</v>
      </c>
      <c r="F181" s="3"/>
      <c r="G181" s="3"/>
      <c r="H181" s="3"/>
      <c r="I181" s="3"/>
      <c r="J181" s="3"/>
      <c r="K181" s="3"/>
      <c r="L181" s="3"/>
      <c r="M181" s="3"/>
      <c r="N181" s="3"/>
    </row>
    <row r="182" spans="1:14" ht="12.75" customHeight="1">
      <c r="A182" s="66" t="s">
        <v>739</v>
      </c>
      <c r="B182" s="66"/>
      <c r="C182" s="66"/>
      <c r="D182" s="66"/>
      <c r="E182" s="66"/>
      <c r="F182" s="3"/>
      <c r="G182" s="3"/>
      <c r="H182" s="3"/>
      <c r="I182" s="3"/>
      <c r="J182" s="3"/>
      <c r="K182" s="3"/>
      <c r="L182" s="3"/>
      <c r="M182" s="3"/>
      <c r="N182" s="3"/>
    </row>
    <row r="183" spans="1:14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1:14" ht="12.75" customHeight="1">
      <c r="A185" s="65" t="s">
        <v>612</v>
      </c>
      <c r="B185" s="65"/>
      <c r="C185" s="65"/>
      <c r="D185" s="65"/>
      <c r="E185" s="65"/>
      <c r="F185" s="3"/>
      <c r="G185" s="3"/>
      <c r="H185" s="3"/>
      <c r="I185" s="3"/>
      <c r="J185" s="3"/>
      <c r="K185" s="3"/>
      <c r="L185" s="3"/>
      <c r="M185" s="3"/>
      <c r="N185" s="3"/>
    </row>
    <row r="186" spans="1:14" ht="35.25" customHeight="1">
      <c r="A186" s="289" t="s">
        <v>737</v>
      </c>
      <c r="B186" s="289"/>
      <c r="C186" s="289" t="s">
        <v>613</v>
      </c>
      <c r="D186" s="289" t="s">
        <v>644</v>
      </c>
      <c r="E186" s="289" t="s">
        <v>738</v>
      </c>
      <c r="F186" s="197"/>
    </row>
    <row r="187" spans="1:14" ht="13.5" customHeight="1">
      <c r="A187" s="290">
        <v>2010</v>
      </c>
      <c r="B187" s="290">
        <v>2020</v>
      </c>
      <c r="C187" s="290">
        <v>2000</v>
      </c>
      <c r="D187" s="291">
        <f t="shared" ref="D187:D197" si="3">(B187-A187)*C187</f>
        <v>20000</v>
      </c>
      <c r="E187" s="290"/>
      <c r="F187" s="197"/>
    </row>
    <row r="188" spans="1:14" ht="18" customHeight="1">
      <c r="A188" s="290">
        <v>2020</v>
      </c>
      <c r="B188" s="290">
        <v>2030</v>
      </c>
      <c r="C188" s="290">
        <v>2300</v>
      </c>
      <c r="D188" s="291">
        <f t="shared" si="3"/>
        <v>23000</v>
      </c>
      <c r="E188" s="290">
        <f>(D188+D187)</f>
        <v>43000</v>
      </c>
      <c r="F188" s="197"/>
    </row>
    <row r="189" spans="1:14" ht="13.5" customHeight="1">
      <c r="A189" s="290">
        <v>2030</v>
      </c>
      <c r="B189" s="290">
        <v>2040</v>
      </c>
      <c r="C189" s="290">
        <v>2300</v>
      </c>
      <c r="D189" s="291">
        <f t="shared" si="3"/>
        <v>23000</v>
      </c>
      <c r="E189" s="290">
        <f>(E188+D189)</f>
        <v>66000</v>
      </c>
      <c r="F189" s="197"/>
    </row>
    <row r="190" spans="1:14" ht="15.75" customHeight="1">
      <c r="A190" s="290">
        <v>2040</v>
      </c>
      <c r="B190" s="290">
        <v>2050</v>
      </c>
      <c r="C190" s="290">
        <v>2300</v>
      </c>
      <c r="D190" s="291">
        <f t="shared" si="3"/>
        <v>23000</v>
      </c>
      <c r="E190" s="290">
        <f>(E189+D190)</f>
        <v>89000</v>
      </c>
      <c r="F190" s="197"/>
    </row>
    <row r="191" spans="1:14" ht="15.75" customHeight="1">
      <c r="A191" s="290">
        <v>2050</v>
      </c>
      <c r="B191" s="290">
        <v>2060</v>
      </c>
      <c r="C191" s="290">
        <v>900</v>
      </c>
      <c r="D191" s="291">
        <f t="shared" si="3"/>
        <v>9000</v>
      </c>
      <c r="E191" s="290">
        <f t="shared" ref="E191:E197" si="4">(E190+D191)</f>
        <v>98000</v>
      </c>
      <c r="F191" s="197"/>
    </row>
    <row r="192" spans="1:14" ht="14.25" customHeight="1">
      <c r="A192" s="290">
        <v>2060</v>
      </c>
      <c r="B192" s="290">
        <v>2070</v>
      </c>
      <c r="C192" s="290">
        <v>900</v>
      </c>
      <c r="D192" s="291">
        <f t="shared" si="3"/>
        <v>9000</v>
      </c>
      <c r="E192" s="290">
        <f t="shared" si="4"/>
        <v>107000</v>
      </c>
      <c r="F192" s="197"/>
    </row>
    <row r="193" spans="1:6" ht="15.75" customHeight="1">
      <c r="A193" s="290">
        <v>2070</v>
      </c>
      <c r="B193" s="290">
        <v>2080</v>
      </c>
      <c r="C193" s="290">
        <v>2000</v>
      </c>
      <c r="D193" s="291">
        <f t="shared" si="3"/>
        <v>20000</v>
      </c>
      <c r="E193" s="290">
        <f t="shared" si="4"/>
        <v>127000</v>
      </c>
      <c r="F193" s="197"/>
    </row>
    <row r="194" spans="1:6" ht="18" customHeight="1">
      <c r="A194" s="290">
        <v>2080</v>
      </c>
      <c r="B194" s="290">
        <v>2090</v>
      </c>
      <c r="C194" s="290">
        <v>2000</v>
      </c>
      <c r="D194" s="291">
        <f t="shared" si="3"/>
        <v>20000</v>
      </c>
      <c r="E194" s="290">
        <f t="shared" si="4"/>
        <v>147000</v>
      </c>
      <c r="F194" s="197"/>
    </row>
    <row r="195" spans="1:6" ht="15.75" customHeight="1">
      <c r="A195" s="290">
        <v>2090</v>
      </c>
      <c r="B195" s="290">
        <v>2100</v>
      </c>
      <c r="C195" s="290">
        <v>2000</v>
      </c>
      <c r="D195" s="291">
        <f t="shared" si="3"/>
        <v>20000</v>
      </c>
      <c r="E195" s="290">
        <f t="shared" si="4"/>
        <v>167000</v>
      </c>
      <c r="F195" s="197"/>
    </row>
    <row r="196" spans="1:6" ht="13.5" customHeight="1">
      <c r="A196" s="290">
        <v>2100</v>
      </c>
      <c r="B196" s="290">
        <v>2110</v>
      </c>
      <c r="C196" s="290">
        <v>2000</v>
      </c>
      <c r="D196" s="291">
        <f t="shared" si="3"/>
        <v>20000</v>
      </c>
      <c r="E196" s="290">
        <f t="shared" si="4"/>
        <v>187000</v>
      </c>
      <c r="F196" s="197"/>
    </row>
    <row r="197" spans="1:6" ht="20.100000000000001" customHeight="1">
      <c r="A197" s="290">
        <v>2110</v>
      </c>
      <c r="B197" s="290">
        <v>2120</v>
      </c>
      <c r="C197" s="290">
        <v>2000</v>
      </c>
      <c r="D197" s="291">
        <f t="shared" si="3"/>
        <v>20000</v>
      </c>
      <c r="E197" s="290">
        <f t="shared" si="4"/>
        <v>207000</v>
      </c>
      <c r="F197" s="197"/>
    </row>
    <row r="198" spans="1:6" ht="20.100000000000001" customHeight="1">
      <c r="A198" s="197" t="s">
        <v>739</v>
      </c>
      <c r="B198" s="287"/>
      <c r="C198" s="287"/>
      <c r="D198" s="288"/>
      <c r="E198" s="287"/>
      <c r="F198" s="197"/>
    </row>
    <row r="199" spans="1:6" ht="20.100000000000001" customHeight="1">
      <c r="A199" s="316" t="s">
        <v>241</v>
      </c>
      <c r="B199" s="287"/>
      <c r="C199" s="287"/>
      <c r="D199" s="288"/>
      <c r="E199" s="287"/>
      <c r="F199" s="197"/>
    </row>
    <row r="200" spans="1:6" ht="32.25" customHeight="1">
      <c r="A200" s="289" t="s">
        <v>737</v>
      </c>
      <c r="B200" s="289"/>
      <c r="C200" s="289" t="s">
        <v>163</v>
      </c>
      <c r="D200" s="289" t="s">
        <v>256</v>
      </c>
      <c r="E200" s="197"/>
      <c r="F200" s="197"/>
    </row>
    <row r="201" spans="1:6" ht="20.100000000000001" customHeight="1">
      <c r="A201" s="290">
        <v>2010</v>
      </c>
      <c r="B201" s="290">
        <v>2020</v>
      </c>
      <c r="C201" s="290">
        <f>(1*D171)</f>
        <v>400000</v>
      </c>
      <c r="D201" s="291">
        <f>(1*D187)</f>
        <v>20000</v>
      </c>
      <c r="E201" s="197"/>
      <c r="F201" s="197"/>
    </row>
    <row r="202" spans="1:6" ht="20.100000000000001" customHeight="1">
      <c r="A202" s="290">
        <v>2020</v>
      </c>
      <c r="B202" s="290">
        <v>2030</v>
      </c>
      <c r="C202" s="290">
        <f t="shared" ref="C202:C211" si="5">(1*D172)</f>
        <v>300000</v>
      </c>
      <c r="D202" s="291">
        <f t="shared" ref="D202:D211" si="6">(1*D188)</f>
        <v>23000</v>
      </c>
      <c r="E202" s="197"/>
      <c r="F202" s="197"/>
    </row>
    <row r="203" spans="1:6" ht="20.100000000000001" customHeight="1">
      <c r="A203" s="290">
        <v>2030</v>
      </c>
      <c r="B203" s="290">
        <v>2040</v>
      </c>
      <c r="C203" s="290">
        <f t="shared" si="5"/>
        <v>220000</v>
      </c>
      <c r="D203" s="291">
        <f t="shared" si="6"/>
        <v>23000</v>
      </c>
    </row>
    <row r="204" spans="1:6" ht="20.100000000000001" customHeight="1">
      <c r="A204" s="290">
        <v>2040</v>
      </c>
      <c r="B204" s="290">
        <v>2050</v>
      </c>
      <c r="C204" s="290">
        <f t="shared" si="5"/>
        <v>540000</v>
      </c>
      <c r="D204" s="291">
        <f t="shared" si="6"/>
        <v>23000</v>
      </c>
    </row>
    <row r="205" spans="1:6" ht="20.100000000000001" customHeight="1">
      <c r="A205" s="290">
        <v>2050</v>
      </c>
      <c r="B205" s="290">
        <v>2060</v>
      </c>
      <c r="C205" s="290">
        <f t="shared" si="5"/>
        <v>350000</v>
      </c>
      <c r="D205" s="291">
        <f t="shared" si="6"/>
        <v>9000</v>
      </c>
    </row>
    <row r="206" spans="1:6" ht="20.100000000000001" customHeight="1">
      <c r="A206" s="290">
        <v>2060</v>
      </c>
      <c r="B206" s="290">
        <v>2070</v>
      </c>
      <c r="C206" s="290">
        <f t="shared" si="5"/>
        <v>350000</v>
      </c>
      <c r="D206" s="291">
        <f t="shared" si="6"/>
        <v>9000</v>
      </c>
    </row>
    <row r="207" spans="1:6" ht="20.100000000000001" customHeight="1">
      <c r="A207" s="290">
        <v>2070</v>
      </c>
      <c r="B207" s="290">
        <v>2080</v>
      </c>
      <c r="C207" s="290">
        <f t="shared" si="5"/>
        <v>430000</v>
      </c>
      <c r="D207" s="291">
        <f t="shared" si="6"/>
        <v>20000</v>
      </c>
    </row>
    <row r="208" spans="1:6" ht="20.100000000000001" customHeight="1">
      <c r="A208" s="290">
        <v>2080</v>
      </c>
      <c r="B208" s="290">
        <v>2090</v>
      </c>
      <c r="C208" s="290">
        <f t="shared" si="5"/>
        <v>430000</v>
      </c>
      <c r="D208" s="291">
        <f t="shared" si="6"/>
        <v>20000</v>
      </c>
    </row>
    <row r="209" spans="1:4" ht="20.100000000000001" customHeight="1">
      <c r="A209" s="290">
        <v>2090</v>
      </c>
      <c r="B209" s="290">
        <v>2100</v>
      </c>
      <c r="C209" s="290">
        <f t="shared" si="5"/>
        <v>430000</v>
      </c>
      <c r="D209" s="291">
        <f t="shared" si="6"/>
        <v>20000</v>
      </c>
    </row>
    <row r="210" spans="1:4" ht="20.100000000000001" customHeight="1">
      <c r="A210" s="290">
        <v>2100</v>
      </c>
      <c r="B210" s="290">
        <v>2110</v>
      </c>
      <c r="C210" s="290">
        <f t="shared" si="5"/>
        <v>430000</v>
      </c>
      <c r="D210" s="291">
        <f t="shared" si="6"/>
        <v>20000</v>
      </c>
    </row>
    <row r="211" spans="1:4" ht="20.100000000000001" customHeight="1">
      <c r="A211" s="290">
        <v>2110</v>
      </c>
      <c r="B211" s="290">
        <v>2120</v>
      </c>
      <c r="C211" s="290">
        <f t="shared" si="5"/>
        <v>430000</v>
      </c>
      <c r="D211" s="291">
        <f t="shared" si="6"/>
        <v>20000</v>
      </c>
    </row>
    <row r="212" spans="1:4" ht="20.100000000000001" customHeight="1">
      <c r="A212" s="1" t="s">
        <v>514</v>
      </c>
    </row>
    <row r="213" spans="1:4" ht="27.75" customHeight="1">
      <c r="A213" s="298"/>
      <c r="B213" s="298" t="s">
        <v>513</v>
      </c>
      <c r="C213" s="298" t="s">
        <v>481</v>
      </c>
      <c r="D213" s="298" t="s">
        <v>512</v>
      </c>
    </row>
    <row r="214" spans="1:4" ht="20.100000000000001" customHeight="1">
      <c r="A214" s="3">
        <v>2</v>
      </c>
      <c r="B214" s="3">
        <v>26433</v>
      </c>
      <c r="C214" s="3">
        <v>13216</v>
      </c>
      <c r="D214" s="3">
        <v>6608</v>
      </c>
    </row>
    <row r="215" spans="1:4" ht="20.100000000000001" customHeight="1">
      <c r="A215" s="3">
        <v>5</v>
      </c>
      <c r="B215" s="3">
        <v>51254</v>
      </c>
      <c r="C215" s="3">
        <v>25627</v>
      </c>
      <c r="D215" s="3">
        <v>12814</v>
      </c>
    </row>
    <row r="216" spans="1:4" ht="20.100000000000001" customHeight="1">
      <c r="A216" s="3">
        <v>9</v>
      </c>
      <c r="B216" s="3">
        <v>10810</v>
      </c>
      <c r="C216" s="3">
        <v>5405</v>
      </c>
      <c r="D216" s="3">
        <v>2703</v>
      </c>
    </row>
    <row r="217" spans="1:4" ht="20.100000000000001" customHeight="1">
      <c r="A217" s="3">
        <v>12</v>
      </c>
      <c r="B217" s="3">
        <v>31634</v>
      </c>
      <c r="C217" s="3">
        <v>15817</v>
      </c>
      <c r="D217" s="3">
        <v>7908</v>
      </c>
    </row>
    <row r="218" spans="1:4" ht="20.100000000000001" customHeight="1">
      <c r="A218" s="3">
        <v>15</v>
      </c>
      <c r="B218" s="3">
        <v>38137</v>
      </c>
      <c r="C218" s="3">
        <v>19069</v>
      </c>
      <c r="D218" s="3">
        <v>9534</v>
      </c>
    </row>
    <row r="219" spans="1:4" ht="20.100000000000001" customHeight="1">
      <c r="A219" s="3">
        <v>17</v>
      </c>
      <c r="B219" s="3">
        <v>33741</v>
      </c>
      <c r="C219" s="3">
        <v>16871</v>
      </c>
      <c r="D219" s="3">
        <v>8435</v>
      </c>
    </row>
    <row r="220" spans="1:4" ht="20.100000000000001" customHeight="1">
      <c r="A220" s="3">
        <v>19</v>
      </c>
      <c r="B220" s="3">
        <v>49057</v>
      </c>
      <c r="C220" s="3">
        <v>24529</v>
      </c>
      <c r="D220" s="3">
        <v>12264</v>
      </c>
    </row>
    <row r="221" spans="1:4" ht="20.100000000000001" customHeight="1">
      <c r="A221" s="3">
        <v>21</v>
      </c>
      <c r="B221" s="3">
        <v>83861</v>
      </c>
      <c r="C221" s="3">
        <v>41943</v>
      </c>
      <c r="D221" s="3">
        <v>20965</v>
      </c>
    </row>
    <row r="222" spans="1:4" ht="20.100000000000001" customHeight="1">
      <c r="A222" s="3">
        <v>23</v>
      </c>
      <c r="B222" s="3">
        <v>42095</v>
      </c>
      <c r="C222" s="3">
        <v>21048</v>
      </c>
      <c r="D222" s="3">
        <v>10524</v>
      </c>
    </row>
    <row r="223" spans="1:4" ht="20.100000000000001" customHeight="1">
      <c r="A223" s="3">
        <v>25</v>
      </c>
      <c r="B223" s="3">
        <v>134782</v>
      </c>
      <c r="C223" s="3">
        <v>67391</v>
      </c>
      <c r="D223" s="3">
        <v>33695</v>
      </c>
    </row>
    <row r="224" spans="1:4" ht="20.100000000000001" customHeight="1">
      <c r="A224" s="3">
        <v>27</v>
      </c>
      <c r="B224" s="3">
        <v>48367</v>
      </c>
      <c r="C224" s="3">
        <v>24183</v>
      </c>
      <c r="D224" s="4">
        <v>12092</v>
      </c>
    </row>
    <row r="225" spans="1:4" ht="20.100000000000001" customHeight="1">
      <c r="A225" s="3">
        <v>28</v>
      </c>
      <c r="B225" s="3">
        <v>84762</v>
      </c>
      <c r="C225" s="3">
        <v>42381</v>
      </c>
      <c r="D225" s="3">
        <v>21191</v>
      </c>
    </row>
    <row r="226" spans="1:4" ht="20.100000000000001" customHeight="1">
      <c r="A226" s="3">
        <v>30</v>
      </c>
      <c r="B226" s="3">
        <v>12340</v>
      </c>
      <c r="C226" s="3">
        <v>6170</v>
      </c>
      <c r="D226" s="3">
        <v>3085</v>
      </c>
    </row>
    <row r="227" spans="1:4" ht="20.100000000000001" customHeight="1">
      <c r="A227" s="3"/>
      <c r="B227" s="3"/>
      <c r="C227" s="3"/>
      <c r="D227" s="3"/>
    </row>
    <row r="231" spans="1:4" ht="20.100000000000001" customHeight="1">
      <c r="A231" s="1" t="s">
        <v>515</v>
      </c>
    </row>
    <row r="232" spans="1:4" ht="27" customHeight="1">
      <c r="A232" s="298"/>
      <c r="B232" s="298" t="s">
        <v>513</v>
      </c>
      <c r="C232" s="298" t="s">
        <v>481</v>
      </c>
      <c r="D232" s="298" t="s">
        <v>512</v>
      </c>
    </row>
    <row r="233" spans="1:4" ht="20.100000000000001" customHeight="1">
      <c r="A233" s="3">
        <v>2</v>
      </c>
      <c r="B233" s="3">
        <v>20194</v>
      </c>
      <c r="C233" s="3">
        <v>36017</v>
      </c>
      <c r="D233" s="3">
        <v>43146</v>
      </c>
    </row>
    <row r="234" spans="1:4" ht="20.100000000000001" customHeight="1">
      <c r="A234" s="3">
        <v>5</v>
      </c>
      <c r="B234" s="3">
        <v>40007</v>
      </c>
      <c r="C234" s="3">
        <v>70233</v>
      </c>
      <c r="D234" s="3">
        <v>83966</v>
      </c>
    </row>
    <row r="235" spans="1:4" ht="20.100000000000001" customHeight="1">
      <c r="A235" s="3">
        <v>9</v>
      </c>
      <c r="B235" s="3">
        <v>19180</v>
      </c>
      <c r="C235" s="3">
        <v>26772</v>
      </c>
      <c r="D235" s="3">
        <v>29912</v>
      </c>
    </row>
    <row r="236" spans="1:4" ht="20.100000000000001" customHeight="1">
      <c r="A236" s="3">
        <v>12</v>
      </c>
      <c r="B236" s="3">
        <v>53110</v>
      </c>
      <c r="C236" s="3">
        <v>75604</v>
      </c>
      <c r="D236" s="3">
        <v>84848</v>
      </c>
    </row>
    <row r="237" spans="1:4" ht="20.100000000000001" customHeight="1">
      <c r="A237" s="3">
        <v>15</v>
      </c>
      <c r="B237" s="3">
        <v>54910</v>
      </c>
      <c r="C237" s="3">
        <v>81113</v>
      </c>
      <c r="D237" s="3">
        <v>92088</v>
      </c>
    </row>
    <row r="238" spans="1:4" ht="20.100000000000001" customHeight="1">
      <c r="A238" s="3">
        <v>17</v>
      </c>
      <c r="B238" s="3">
        <v>42485</v>
      </c>
      <c r="C238" s="3">
        <v>67004</v>
      </c>
      <c r="D238" s="3">
        <v>76969</v>
      </c>
    </row>
    <row r="239" spans="1:4" ht="20.100000000000001" customHeight="1">
      <c r="A239" s="3">
        <v>19</v>
      </c>
      <c r="B239" s="3">
        <v>61336</v>
      </c>
      <c r="C239" s="3">
        <v>96286</v>
      </c>
      <c r="D239" s="3">
        <v>110642</v>
      </c>
    </row>
    <row r="240" spans="1:4" ht="20.100000000000001" customHeight="1">
      <c r="A240" s="3">
        <v>21</v>
      </c>
      <c r="B240" s="3">
        <v>103816</v>
      </c>
      <c r="C240" s="3">
        <v>163854</v>
      </c>
      <c r="D240" s="3">
        <v>188448</v>
      </c>
    </row>
    <row r="241" spans="1:4" ht="20.100000000000001" customHeight="1">
      <c r="A241" s="3">
        <v>23</v>
      </c>
      <c r="B241" s="3">
        <v>58338</v>
      </c>
      <c r="C241" s="3">
        <v>87801</v>
      </c>
      <c r="D241" s="3">
        <v>100015</v>
      </c>
    </row>
    <row r="242" spans="1:4" ht="20.100000000000001" customHeight="1">
      <c r="A242" s="3">
        <v>25</v>
      </c>
      <c r="B242" s="3">
        <v>195149</v>
      </c>
      <c r="C242" s="3">
        <v>289472</v>
      </c>
      <c r="D242" s="3">
        <v>328581</v>
      </c>
    </row>
    <row r="243" spans="1:4" ht="20.100000000000001" customHeight="1">
      <c r="A243" s="3">
        <v>27</v>
      </c>
      <c r="B243" s="3">
        <v>71902</v>
      </c>
      <c r="C243" s="3">
        <v>105692</v>
      </c>
      <c r="D243" s="4">
        <v>119712</v>
      </c>
    </row>
    <row r="244" spans="1:4" ht="20.100000000000001" customHeight="1">
      <c r="A244" s="3">
        <v>28</v>
      </c>
      <c r="B244" s="3">
        <v>132683</v>
      </c>
      <c r="C244" s="3">
        <v>191861</v>
      </c>
      <c r="D244" s="3">
        <v>216421</v>
      </c>
    </row>
    <row r="245" spans="1:4" ht="20.100000000000001" customHeight="1">
      <c r="A245" s="3">
        <v>30</v>
      </c>
      <c r="B245" s="3">
        <v>21521</v>
      </c>
      <c r="C245" s="3">
        <v>29578</v>
      </c>
      <c r="D245" s="3">
        <v>33048</v>
      </c>
    </row>
    <row r="247" spans="1:4" ht="20.100000000000001" customHeight="1">
      <c r="A247" s="1" t="s">
        <v>516</v>
      </c>
    </row>
    <row r="248" spans="1:4" ht="28.5" customHeight="1">
      <c r="A248" s="298"/>
      <c r="B248" s="298" t="s">
        <v>513</v>
      </c>
      <c r="C248" s="298" t="s">
        <v>481</v>
      </c>
      <c r="D248" s="298" t="s">
        <v>512</v>
      </c>
    </row>
    <row r="249" spans="1:4" ht="20.100000000000001" customHeight="1">
      <c r="A249" s="3">
        <v>2</v>
      </c>
      <c r="B249" s="3">
        <v>5213</v>
      </c>
      <c r="C249" s="3">
        <v>2606</v>
      </c>
      <c r="D249" s="3">
        <v>2085</v>
      </c>
    </row>
    <row r="250" spans="1:4" ht="20.100000000000001" customHeight="1">
      <c r="A250" s="3">
        <v>5</v>
      </c>
      <c r="B250" s="3">
        <v>9198</v>
      </c>
      <c r="C250" s="3">
        <v>4599</v>
      </c>
      <c r="D250" s="3">
        <v>3679</v>
      </c>
    </row>
    <row r="251" spans="1:4" ht="20.100000000000001" customHeight="1">
      <c r="A251" s="3">
        <v>9</v>
      </c>
      <c r="B251" s="3">
        <v>4373</v>
      </c>
      <c r="C251" s="3">
        <v>2187</v>
      </c>
      <c r="D251" s="3">
        <v>1749</v>
      </c>
    </row>
    <row r="252" spans="1:4" ht="20.100000000000001" customHeight="1">
      <c r="A252" s="3">
        <v>12</v>
      </c>
      <c r="B252" s="3">
        <v>13355</v>
      </c>
      <c r="C252" s="3">
        <v>6678</v>
      </c>
      <c r="D252" s="3">
        <v>5342</v>
      </c>
    </row>
    <row r="253" spans="1:4" ht="20.100000000000001" customHeight="1">
      <c r="A253" s="3">
        <v>15</v>
      </c>
      <c r="B253" s="3">
        <v>14178</v>
      </c>
      <c r="C253" s="3">
        <v>7089</v>
      </c>
      <c r="D253" s="3">
        <v>5671</v>
      </c>
    </row>
    <row r="254" spans="1:4" ht="20.100000000000001" customHeight="1">
      <c r="A254" s="3">
        <v>17</v>
      </c>
      <c r="B254" s="3">
        <v>15298</v>
      </c>
      <c r="C254" s="3">
        <v>7649</v>
      </c>
      <c r="D254" s="3">
        <v>6119</v>
      </c>
    </row>
    <row r="255" spans="1:4" ht="20.100000000000001" customHeight="1">
      <c r="A255" s="3">
        <v>19</v>
      </c>
      <c r="B255" s="3">
        <v>20797</v>
      </c>
      <c r="C255" s="3">
        <v>10398</v>
      </c>
      <c r="D255" s="3">
        <v>8319</v>
      </c>
    </row>
    <row r="256" spans="1:4" ht="20.100000000000001" customHeight="1">
      <c r="A256" s="3">
        <v>21</v>
      </c>
      <c r="B256" s="3">
        <v>36168</v>
      </c>
      <c r="C256" s="3">
        <v>18084</v>
      </c>
      <c r="D256" s="3">
        <v>14467</v>
      </c>
    </row>
    <row r="257" spans="1:5" ht="20.100000000000001" customHeight="1">
      <c r="A257" s="3">
        <v>23</v>
      </c>
      <c r="B257" s="3">
        <v>16786</v>
      </c>
      <c r="C257" s="3">
        <v>8393</v>
      </c>
      <c r="D257" s="3">
        <v>6714</v>
      </c>
    </row>
    <row r="258" spans="1:5" ht="20.100000000000001" customHeight="1">
      <c r="A258" s="3">
        <v>25</v>
      </c>
      <c r="B258" s="3">
        <v>53679</v>
      </c>
      <c r="C258" s="3">
        <v>26839</v>
      </c>
      <c r="D258" s="3">
        <v>21471</v>
      </c>
    </row>
    <row r="259" spans="1:5" ht="20.100000000000001" customHeight="1">
      <c r="A259" s="3">
        <v>27</v>
      </c>
      <c r="B259" s="3">
        <v>19167</v>
      </c>
      <c r="C259" s="3">
        <v>9584</v>
      </c>
      <c r="D259" s="4">
        <v>7667</v>
      </c>
    </row>
    <row r="260" spans="1:5" ht="20.100000000000001" customHeight="1">
      <c r="A260" s="3">
        <v>28</v>
      </c>
      <c r="B260" s="3">
        <v>33524</v>
      </c>
      <c r="C260" s="3">
        <v>16762</v>
      </c>
      <c r="D260" s="3">
        <v>13409</v>
      </c>
    </row>
    <row r="261" spans="1:5" ht="20.100000000000001" customHeight="1">
      <c r="A261" s="3">
        <v>30</v>
      </c>
      <c r="B261" s="3">
        <v>3729</v>
      </c>
      <c r="C261" s="3">
        <v>1864</v>
      </c>
      <c r="D261" s="3">
        <v>1492</v>
      </c>
    </row>
    <row r="262" spans="1:5" ht="20.100000000000001" customHeight="1">
      <c r="A262" s="3"/>
      <c r="B262" s="3"/>
      <c r="C262" s="3"/>
      <c r="D262" s="3"/>
    </row>
    <row r="263" spans="1:5" ht="20.100000000000001" customHeight="1">
      <c r="A263" s="299"/>
      <c r="B263" s="299"/>
      <c r="C263" s="299"/>
      <c r="D263" s="299"/>
    </row>
    <row r="264" spans="1:5" ht="20.100000000000001" customHeight="1">
      <c r="A264" s="299"/>
      <c r="B264" s="299"/>
      <c r="C264" s="299"/>
      <c r="D264" s="299"/>
    </row>
    <row r="267" spans="1:5" ht="20.100000000000001" customHeight="1">
      <c r="A267" s="294" t="s">
        <v>180</v>
      </c>
      <c r="B267" s="294"/>
      <c r="C267" s="294"/>
      <c r="D267" s="294"/>
      <c r="E267" s="295"/>
    </row>
    <row r="268" spans="1:5" ht="20.100000000000001" customHeight="1">
      <c r="A268" s="296" t="s">
        <v>545</v>
      </c>
      <c r="B268" s="297"/>
      <c r="C268" s="296" t="s">
        <v>510</v>
      </c>
      <c r="D268" s="296" t="s">
        <v>510</v>
      </c>
      <c r="E268" s="296" t="s">
        <v>510</v>
      </c>
    </row>
    <row r="269" spans="1:5" ht="20.100000000000001" customHeight="1">
      <c r="A269" s="296"/>
      <c r="B269" s="297"/>
      <c r="C269" s="296" t="s">
        <v>167</v>
      </c>
      <c r="D269" s="296" t="s">
        <v>168</v>
      </c>
      <c r="E269" s="296" t="s">
        <v>646</v>
      </c>
    </row>
    <row r="270" spans="1:5" ht="20.100000000000001" customHeight="1">
      <c r="A270" s="296">
        <v>2010</v>
      </c>
      <c r="B270" s="297">
        <v>2020</v>
      </c>
      <c r="C270" s="296">
        <v>14250</v>
      </c>
      <c r="D270" s="296">
        <v>221020</v>
      </c>
      <c r="E270" s="296">
        <f t="shared" ref="E270:E280" si="7">SUM(C270:D270)</f>
        <v>235270</v>
      </c>
    </row>
    <row r="271" spans="1:5" ht="20.100000000000001" customHeight="1">
      <c r="A271" s="296">
        <v>2020</v>
      </c>
      <c r="B271" s="297">
        <v>2030</v>
      </c>
      <c r="C271" s="296">
        <v>13600</v>
      </c>
      <c r="D271" s="296">
        <v>251500</v>
      </c>
      <c r="E271" s="296">
        <f t="shared" si="7"/>
        <v>265100</v>
      </c>
    </row>
    <row r="272" spans="1:5" ht="20.100000000000001" customHeight="1">
      <c r="A272" s="296">
        <v>2030</v>
      </c>
      <c r="B272" s="297">
        <v>2040</v>
      </c>
      <c r="C272" s="296">
        <v>14700</v>
      </c>
      <c r="D272" s="296">
        <v>208500</v>
      </c>
      <c r="E272" s="296">
        <f t="shared" si="7"/>
        <v>223200</v>
      </c>
    </row>
    <row r="273" spans="1:5" ht="20.100000000000001" customHeight="1">
      <c r="A273" s="296">
        <v>2040</v>
      </c>
      <c r="B273" s="297">
        <v>2050</v>
      </c>
      <c r="C273" s="296">
        <v>17550</v>
      </c>
      <c r="D273" s="296">
        <v>393000</v>
      </c>
      <c r="E273" s="296">
        <f t="shared" si="7"/>
        <v>410550</v>
      </c>
    </row>
    <row r="274" spans="1:5" ht="20.100000000000001" customHeight="1">
      <c r="A274" s="296">
        <v>2050</v>
      </c>
      <c r="B274" s="297">
        <v>2060</v>
      </c>
      <c r="C274" s="296">
        <v>17550</v>
      </c>
      <c r="D274" s="296">
        <v>393000</v>
      </c>
      <c r="E274" s="296">
        <f t="shared" si="7"/>
        <v>410550</v>
      </c>
    </row>
    <row r="275" spans="1:5" ht="20.100000000000001" customHeight="1">
      <c r="A275" s="296">
        <v>2060</v>
      </c>
      <c r="B275" s="297">
        <v>2070</v>
      </c>
      <c r="C275" s="296">
        <v>20500</v>
      </c>
      <c r="D275" s="296">
        <v>369500</v>
      </c>
      <c r="E275" s="296">
        <f t="shared" si="7"/>
        <v>390000</v>
      </c>
    </row>
    <row r="276" spans="1:5" ht="20.100000000000001" customHeight="1">
      <c r="A276" s="296">
        <v>2070</v>
      </c>
      <c r="B276" s="297">
        <v>2080</v>
      </c>
      <c r="C276" s="296">
        <v>20500</v>
      </c>
      <c r="D276" s="296">
        <v>369500</v>
      </c>
      <c r="E276" s="296">
        <f t="shared" si="7"/>
        <v>390000</v>
      </c>
    </row>
    <row r="277" spans="1:5" ht="20.100000000000001" customHeight="1">
      <c r="A277" s="296">
        <v>2080</v>
      </c>
      <c r="B277" s="297">
        <v>2090</v>
      </c>
      <c r="C277" s="296">
        <v>20500</v>
      </c>
      <c r="D277" s="296">
        <v>369500</v>
      </c>
      <c r="E277" s="296">
        <f t="shared" si="7"/>
        <v>390000</v>
      </c>
    </row>
    <row r="278" spans="1:5" ht="20.100000000000001" customHeight="1">
      <c r="A278" s="296">
        <v>2090</v>
      </c>
      <c r="B278" s="297">
        <v>2100</v>
      </c>
      <c r="C278" s="296">
        <v>20500</v>
      </c>
      <c r="D278" s="296">
        <v>369500</v>
      </c>
      <c r="E278" s="296">
        <f t="shared" si="7"/>
        <v>390000</v>
      </c>
    </row>
    <row r="279" spans="1:5" ht="20.100000000000001" customHeight="1">
      <c r="A279" s="296">
        <v>2100</v>
      </c>
      <c r="B279" s="297">
        <v>2110</v>
      </c>
      <c r="C279" s="296">
        <v>15350</v>
      </c>
      <c r="D279" s="296">
        <v>598500</v>
      </c>
      <c r="E279" s="296">
        <f t="shared" si="7"/>
        <v>613850</v>
      </c>
    </row>
    <row r="280" spans="1:5" ht="20.100000000000001" customHeight="1">
      <c r="A280" s="296">
        <v>2110</v>
      </c>
      <c r="B280" s="297">
        <v>2120</v>
      </c>
      <c r="C280" s="296">
        <v>15350</v>
      </c>
      <c r="D280" s="296">
        <v>598500</v>
      </c>
      <c r="E280" s="296">
        <f t="shared" si="7"/>
        <v>613850</v>
      </c>
    </row>
    <row r="281" spans="1:5" ht="20.100000000000001" customHeight="1">
      <c r="A281" s="296" t="s">
        <v>646</v>
      </c>
      <c r="B281" s="297"/>
      <c r="C281" s="296">
        <f>SUM(C270:C280)</f>
        <v>190350</v>
      </c>
      <c r="D281" s="296">
        <f>SUM(D270:D280)</f>
        <v>4142020</v>
      </c>
      <c r="E281" s="296">
        <f>SUM(E270:E280)</f>
        <v>4332370</v>
      </c>
    </row>
    <row r="282" spans="1:5" ht="20.100000000000001" customHeight="1">
      <c r="A282" s="66" t="s">
        <v>169</v>
      </c>
      <c r="B282" s="66"/>
      <c r="C282" s="66"/>
      <c r="D282" s="66" t="s">
        <v>181</v>
      </c>
      <c r="E282" s="4">
        <v>4330000</v>
      </c>
    </row>
    <row r="285" spans="1:5" ht="20.100000000000001" customHeight="1">
      <c r="A285" s="296"/>
      <c r="B285" s="297"/>
      <c r="C285" s="296" t="s">
        <v>166</v>
      </c>
      <c r="D285" s="296" t="s">
        <v>167</v>
      </c>
    </row>
    <row r="286" spans="1:5" ht="20.100000000000001" customHeight="1">
      <c r="A286" s="296">
        <v>2010</v>
      </c>
      <c r="B286" s="297">
        <v>2020</v>
      </c>
      <c r="C286" s="296">
        <v>19800</v>
      </c>
      <c r="D286" s="296">
        <v>14250</v>
      </c>
    </row>
    <row r="287" spans="1:5" ht="20.100000000000001" customHeight="1">
      <c r="A287" s="296">
        <v>2020</v>
      </c>
      <c r="B287" s="297">
        <v>2030</v>
      </c>
      <c r="C287" s="296">
        <v>17400</v>
      </c>
      <c r="D287" s="296">
        <v>13600</v>
      </c>
    </row>
    <row r="288" spans="1:5" ht="20.100000000000001" customHeight="1">
      <c r="A288" s="296">
        <v>2030</v>
      </c>
      <c r="B288" s="297">
        <v>2040</v>
      </c>
      <c r="C288" s="296">
        <v>21600</v>
      </c>
      <c r="D288" s="296">
        <v>14700</v>
      </c>
    </row>
    <row r="289" spans="1:4" ht="20.100000000000001" customHeight="1">
      <c r="A289" s="296">
        <v>2040</v>
      </c>
      <c r="B289" s="297">
        <v>2050</v>
      </c>
      <c r="C289" s="296">
        <f>+(40500/2)</f>
        <v>20250</v>
      </c>
      <c r="D289" s="296">
        <v>17550</v>
      </c>
    </row>
    <row r="290" spans="1:4" ht="20.100000000000001" customHeight="1">
      <c r="A290" s="296">
        <v>2050</v>
      </c>
      <c r="B290" s="297">
        <v>2060</v>
      </c>
      <c r="C290" s="296">
        <f>+(40500/2)</f>
        <v>20250</v>
      </c>
      <c r="D290" s="296">
        <v>17550</v>
      </c>
    </row>
    <row r="291" spans="1:4" ht="20.100000000000001" customHeight="1">
      <c r="A291" s="296">
        <v>2060</v>
      </c>
      <c r="B291" s="297">
        <v>2070</v>
      </c>
      <c r="C291" s="296">
        <f>+(65200/4)</f>
        <v>16300</v>
      </c>
      <c r="D291" s="296">
        <v>20500</v>
      </c>
    </row>
    <row r="292" spans="1:4" ht="20.100000000000001" customHeight="1">
      <c r="A292" s="296">
        <v>2070</v>
      </c>
      <c r="B292" s="297">
        <v>2080</v>
      </c>
      <c r="C292" s="296">
        <f>+(65200/4)</f>
        <v>16300</v>
      </c>
      <c r="D292" s="296">
        <v>20500</v>
      </c>
    </row>
    <row r="293" spans="1:4" ht="20.100000000000001" customHeight="1">
      <c r="A293" s="296">
        <v>2080</v>
      </c>
      <c r="B293" s="297">
        <v>2090</v>
      </c>
      <c r="C293" s="296">
        <f>+(65200/4)</f>
        <v>16300</v>
      </c>
      <c r="D293" s="296">
        <v>20500</v>
      </c>
    </row>
    <row r="294" spans="1:4" ht="20.100000000000001" customHeight="1">
      <c r="A294" s="296">
        <v>2090</v>
      </c>
      <c r="B294" s="297">
        <v>2100</v>
      </c>
      <c r="C294" s="296">
        <f>+(65200/4)</f>
        <v>16300</v>
      </c>
      <c r="D294" s="296">
        <v>20500</v>
      </c>
    </row>
    <row r="295" spans="1:4" ht="20.100000000000001" customHeight="1">
      <c r="A295" s="296">
        <v>2100</v>
      </c>
      <c r="B295" s="297">
        <v>2110</v>
      </c>
      <c r="C295" s="296">
        <f>(27800/2)</f>
        <v>13900</v>
      </c>
      <c r="D295" s="296">
        <v>15350</v>
      </c>
    </row>
    <row r="296" spans="1:4" ht="20.100000000000001" customHeight="1">
      <c r="A296" s="296">
        <v>2110</v>
      </c>
      <c r="B296" s="297">
        <v>2120</v>
      </c>
      <c r="C296" s="296">
        <f>(27800/2)</f>
        <v>13900</v>
      </c>
      <c r="D296" s="296">
        <v>15350</v>
      </c>
    </row>
    <row r="297" spans="1:4" ht="20.100000000000001" customHeight="1">
      <c r="A297" s="296" t="s">
        <v>646</v>
      </c>
      <c r="B297" s="297"/>
      <c r="C297" s="296">
        <f>SUM(C286:C296)</f>
        <v>192300</v>
      </c>
      <c r="D297" s="296">
        <f>SUM(D286:D296)</f>
        <v>190350</v>
      </c>
    </row>
    <row r="298" spans="1:4" ht="20.100000000000001" customHeight="1">
      <c r="A298" s="66" t="s">
        <v>46</v>
      </c>
      <c r="B298" s="66"/>
      <c r="C298" s="66"/>
    </row>
    <row r="300" spans="1:4" ht="30.75" customHeight="1">
      <c r="A300" s="296"/>
      <c r="B300" s="297"/>
      <c r="C300" s="292" t="s">
        <v>47</v>
      </c>
    </row>
    <row r="301" spans="1:4" ht="20.100000000000001" customHeight="1">
      <c r="A301" s="296">
        <v>2010</v>
      </c>
      <c r="B301" s="297">
        <v>2020</v>
      </c>
      <c r="C301" s="296">
        <v>188800</v>
      </c>
    </row>
    <row r="302" spans="1:4" ht="20.100000000000001" customHeight="1">
      <c r="A302" s="296">
        <v>2020</v>
      </c>
      <c r="B302" s="297">
        <v>2030</v>
      </c>
      <c r="C302" s="296">
        <v>182000</v>
      </c>
    </row>
    <row r="303" spans="1:4" ht="20.100000000000001" customHeight="1">
      <c r="A303" s="296">
        <v>2030</v>
      </c>
      <c r="B303" s="297">
        <v>2040</v>
      </c>
      <c r="C303" s="296">
        <v>62500</v>
      </c>
    </row>
    <row r="304" spans="1:4" ht="20.100000000000001" customHeight="1">
      <c r="A304" s="296">
        <v>2040</v>
      </c>
      <c r="B304" s="297">
        <v>2050</v>
      </c>
      <c r="C304" s="296">
        <v>105000</v>
      </c>
    </row>
    <row r="305" spans="1:3" ht="20.100000000000001" customHeight="1">
      <c r="A305" s="296">
        <v>2050</v>
      </c>
      <c r="B305" s="297">
        <v>2060</v>
      </c>
      <c r="C305" s="296">
        <v>105000</v>
      </c>
    </row>
    <row r="306" spans="1:3" ht="20.100000000000001" customHeight="1">
      <c r="A306" s="296">
        <v>2060</v>
      </c>
      <c r="B306" s="297">
        <v>2070</v>
      </c>
      <c r="C306" s="296">
        <v>107000</v>
      </c>
    </row>
    <row r="307" spans="1:3" ht="20.100000000000001" customHeight="1">
      <c r="A307" s="296">
        <v>2070</v>
      </c>
      <c r="B307" s="297">
        <v>2080</v>
      </c>
      <c r="C307" s="296">
        <v>107000</v>
      </c>
    </row>
    <row r="308" spans="1:3" ht="20.100000000000001" customHeight="1">
      <c r="A308" s="296">
        <v>2080</v>
      </c>
      <c r="B308" s="297">
        <v>2090</v>
      </c>
      <c r="C308" s="296">
        <v>107000</v>
      </c>
    </row>
    <row r="309" spans="1:3" ht="20.100000000000001" customHeight="1">
      <c r="A309" s="296">
        <v>2090</v>
      </c>
      <c r="B309" s="297">
        <v>2100</v>
      </c>
      <c r="C309" s="296">
        <v>107000</v>
      </c>
    </row>
    <row r="310" spans="1:3" ht="20.100000000000001" customHeight="1">
      <c r="A310" s="296">
        <v>2100</v>
      </c>
      <c r="B310" s="297">
        <v>2110</v>
      </c>
      <c r="C310" s="296">
        <v>115500</v>
      </c>
    </row>
    <row r="311" spans="1:3" ht="20.100000000000001" customHeight="1">
      <c r="A311" s="296">
        <v>2110</v>
      </c>
      <c r="B311" s="297">
        <v>2120</v>
      </c>
      <c r="C311" s="296">
        <v>115500</v>
      </c>
    </row>
    <row r="312" spans="1:3" ht="20.100000000000001" customHeight="1">
      <c r="A312" s="296" t="s">
        <v>646</v>
      </c>
      <c r="B312" s="297"/>
      <c r="C312" s="296">
        <f>SUM(C301:C311)</f>
        <v>1302300</v>
      </c>
    </row>
    <row r="313" spans="1:3" ht="29.25" customHeight="1">
      <c r="A313" s="66" t="s">
        <v>169</v>
      </c>
      <c r="C313" s="301" t="s">
        <v>48</v>
      </c>
    </row>
  </sheetData>
  <mergeCells count="1">
    <mergeCell ref="G28:L28"/>
  </mergeCells>
  <phoneticPr fontId="5" type="noConversion"/>
  <pageMargins left="0.75" right="0.75" top="1" bottom="1" header="0.5" footer="0.5"/>
  <pageSetup paperSize="9" orientation="portrait" horizontalDpi="150" verticalDpi="150" r:id="rId1"/>
  <rowBreaks count="7" manualBreakCount="7">
    <brk id="48" max="16383" man="1"/>
    <brk id="101" max="16383" man="1"/>
    <brk id="151" max="16383" man="1"/>
    <brk id="198" max="16383" man="1"/>
    <brk id="230" max="16383" man="1"/>
    <brk id="266" max="20" man="1"/>
    <brk id="299" max="20" man="1"/>
  </rowBreaks>
  <colBreaks count="2" manualBreakCount="2">
    <brk id="6" max="313" man="1"/>
    <brk id="14" max="31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103"/>
  <sheetViews>
    <sheetView topLeftCell="A72" zoomScale="90" zoomScaleNormal="90" zoomScalePageLayoutView="90" workbookViewId="0">
      <selection activeCell="A105" sqref="A105"/>
    </sheetView>
  </sheetViews>
  <sheetFormatPr defaultColWidth="8.75" defaultRowHeight="14.25"/>
  <cols>
    <col min="1" max="1" width="15.875" customWidth="1"/>
    <col min="2" max="2" width="12.375" bestFit="1" customWidth="1"/>
    <col min="3" max="3" width="12.375" customWidth="1"/>
    <col min="4" max="4" width="12" bestFit="1" customWidth="1"/>
    <col min="5" max="5" width="12.625" customWidth="1"/>
    <col min="6" max="6" width="10.25" bestFit="1" customWidth="1"/>
    <col min="7" max="7" width="12.625" customWidth="1"/>
    <col min="8" max="8" width="11.625" customWidth="1"/>
    <col min="9" max="9" width="10.25" bestFit="1" customWidth="1"/>
    <col min="16" max="16" width="11" customWidth="1"/>
    <col min="17" max="17" width="11.375" customWidth="1"/>
    <col min="18" max="18" width="10.25" customWidth="1"/>
    <col min="19" max="19" width="11.75" customWidth="1"/>
  </cols>
  <sheetData>
    <row r="1" spans="1:19">
      <c r="A1" s="165" t="s">
        <v>239</v>
      </c>
    </row>
    <row r="2" spans="1:19" ht="25.5">
      <c r="A2" s="150" t="s">
        <v>1218</v>
      </c>
      <c r="B2" s="168" t="s">
        <v>92</v>
      </c>
      <c r="C2" s="168" t="s">
        <v>93</v>
      </c>
      <c r="D2" s="168" t="s">
        <v>422</v>
      </c>
      <c r="E2" s="168" t="s">
        <v>94</v>
      </c>
      <c r="O2" s="150" t="s">
        <v>1218</v>
      </c>
      <c r="P2" s="168" t="s">
        <v>92</v>
      </c>
      <c r="Q2" s="168" t="s">
        <v>93</v>
      </c>
      <c r="R2" s="168" t="s">
        <v>422</v>
      </c>
      <c r="S2" s="168" t="s">
        <v>94</v>
      </c>
    </row>
    <row r="3" spans="1:19" ht="25.5">
      <c r="A3" s="150" t="s">
        <v>8</v>
      </c>
      <c r="B3" s="151">
        <v>0</v>
      </c>
      <c r="C3" s="151">
        <v>0</v>
      </c>
      <c r="D3" s="151">
        <v>0</v>
      </c>
      <c r="E3" s="151">
        <v>0</v>
      </c>
      <c r="O3" s="150" t="s">
        <v>78</v>
      </c>
      <c r="P3" s="170">
        <f>(B4/$B$15)*100</f>
        <v>0</v>
      </c>
      <c r="Q3" s="170">
        <f>(C4/$B$15)*100</f>
        <v>19.355875030118064</v>
      </c>
      <c r="R3" s="170">
        <f>(D4/$B$15)*100</f>
        <v>0.80314834149867487</v>
      </c>
      <c r="S3" s="170">
        <f>(E4/$B$15)*100</f>
        <v>0.80314834149867487</v>
      </c>
    </row>
    <row r="4" spans="1:19" ht="25.5">
      <c r="A4" s="150" t="s">
        <v>78</v>
      </c>
      <c r="B4" s="151">
        <v>0</v>
      </c>
      <c r="C4" s="151">
        <v>24100</v>
      </c>
      <c r="D4" s="151">
        <v>1000</v>
      </c>
      <c r="E4" s="151">
        <v>1000</v>
      </c>
      <c r="O4" s="150" t="s">
        <v>79</v>
      </c>
      <c r="P4" s="170">
        <f t="shared" ref="P4:P14" si="0">(B5/$B$15)*100</f>
        <v>0</v>
      </c>
      <c r="Q4" s="170">
        <f t="shared" ref="Q4:Q14" si="1">(C5/$B$15)*100</f>
        <v>17.74957834712071</v>
      </c>
      <c r="R4" s="170">
        <f t="shared" ref="R4:R13" si="2">(D5/$B$15)*100</f>
        <v>0.74130591920327682</v>
      </c>
      <c r="S4" s="170">
        <f t="shared" ref="S4:S14" si="3">(E5/$B$15)*100</f>
        <v>0.74130591920327682</v>
      </c>
    </row>
    <row r="5" spans="1:19" ht="25.5">
      <c r="A5" s="150" t="s">
        <v>79</v>
      </c>
      <c r="B5" s="151">
        <v>0</v>
      </c>
      <c r="C5" s="151">
        <v>22100</v>
      </c>
      <c r="D5" s="151">
        <v>923</v>
      </c>
      <c r="E5" s="151">
        <v>923</v>
      </c>
      <c r="O5" s="162" t="s">
        <v>86</v>
      </c>
      <c r="P5" s="170">
        <f t="shared" si="0"/>
        <v>0.35338527025941691</v>
      </c>
      <c r="Q5" s="170">
        <f t="shared" si="1"/>
        <v>7.003453537868444E-2</v>
      </c>
      <c r="R5" s="170">
        <f t="shared" si="2"/>
        <v>1.2071319572725083</v>
      </c>
      <c r="S5" s="170">
        <f t="shared" si="3"/>
        <v>4.6743233475222876</v>
      </c>
    </row>
    <row r="6" spans="1:19" ht="25.5">
      <c r="A6" s="162" t="s">
        <v>86</v>
      </c>
      <c r="B6" s="150">
        <v>440</v>
      </c>
      <c r="C6" s="150">
        <v>87.2</v>
      </c>
      <c r="D6" s="151">
        <v>1503</v>
      </c>
      <c r="E6" s="151">
        <v>5820</v>
      </c>
      <c r="O6" s="150" t="s">
        <v>11</v>
      </c>
      <c r="P6" s="170">
        <f t="shared" si="0"/>
        <v>0</v>
      </c>
      <c r="Q6" s="170">
        <f t="shared" si="1"/>
        <v>0</v>
      </c>
      <c r="R6" s="170">
        <f t="shared" si="2"/>
        <v>3.2688137498996066</v>
      </c>
      <c r="S6" s="170">
        <f t="shared" si="3"/>
        <v>2.4857441169383989</v>
      </c>
    </row>
    <row r="7" spans="1:19">
      <c r="A7" s="150" t="s">
        <v>11</v>
      </c>
      <c r="B7" s="150">
        <v>0</v>
      </c>
      <c r="C7" s="150">
        <v>0</v>
      </c>
      <c r="D7" s="151">
        <v>4070</v>
      </c>
      <c r="E7" s="151">
        <v>3095</v>
      </c>
      <c r="O7" s="150" t="s">
        <v>87</v>
      </c>
      <c r="P7" s="170">
        <f t="shared" si="0"/>
        <v>0</v>
      </c>
      <c r="Q7" s="170">
        <f t="shared" si="1"/>
        <v>2.5973817364067142</v>
      </c>
      <c r="R7" s="170">
        <f t="shared" si="2"/>
        <v>2.5973817364067142</v>
      </c>
      <c r="S7" s="170">
        <f t="shared" si="3"/>
        <v>2.5973817364067142</v>
      </c>
    </row>
    <row r="8" spans="1:19">
      <c r="A8" s="150" t="s">
        <v>87</v>
      </c>
      <c r="B8" s="151">
        <v>0</v>
      </c>
      <c r="C8" s="151">
        <v>3234</v>
      </c>
      <c r="D8" s="151">
        <v>3234</v>
      </c>
      <c r="E8" s="151">
        <v>3234</v>
      </c>
      <c r="O8" s="150" t="s">
        <v>88</v>
      </c>
      <c r="P8" s="170">
        <f t="shared" si="0"/>
        <v>0</v>
      </c>
      <c r="Q8" s="170">
        <f t="shared" si="1"/>
        <v>0</v>
      </c>
      <c r="R8" s="170">
        <f t="shared" si="2"/>
        <v>3.6543249538189699</v>
      </c>
      <c r="S8" s="170">
        <f t="shared" si="3"/>
        <v>3.6543249538189699</v>
      </c>
    </row>
    <row r="9" spans="1:19" ht="25.5">
      <c r="A9" s="150" t="s">
        <v>88</v>
      </c>
      <c r="B9" s="150">
        <v>0</v>
      </c>
      <c r="C9" s="150">
        <v>0</v>
      </c>
      <c r="D9" s="151">
        <v>4550</v>
      </c>
      <c r="E9" s="151">
        <v>4550</v>
      </c>
      <c r="O9" s="150" t="s">
        <v>89</v>
      </c>
      <c r="P9" s="170">
        <f t="shared" si="0"/>
        <v>0</v>
      </c>
      <c r="Q9" s="170">
        <f t="shared" si="1"/>
        <v>0</v>
      </c>
      <c r="R9" s="170">
        <f t="shared" si="2"/>
        <v>3.3105774636575371</v>
      </c>
      <c r="S9" s="170">
        <f t="shared" si="3"/>
        <v>3.0174283190105213</v>
      </c>
    </row>
    <row r="10" spans="1:19" ht="38.25">
      <c r="A10" s="150" t="s">
        <v>89</v>
      </c>
      <c r="B10" s="150">
        <v>0</v>
      </c>
      <c r="C10" s="150">
        <v>0</v>
      </c>
      <c r="D10" s="151">
        <v>4122</v>
      </c>
      <c r="E10" s="151">
        <v>3757</v>
      </c>
      <c r="O10" s="150" t="s">
        <v>90</v>
      </c>
      <c r="P10" s="170">
        <f t="shared" si="0"/>
        <v>0</v>
      </c>
      <c r="Q10" s="170">
        <f t="shared" si="1"/>
        <v>0</v>
      </c>
      <c r="R10" s="170">
        <f t="shared" si="2"/>
        <v>-59.111717934302469</v>
      </c>
      <c r="S10" s="170">
        <f t="shared" si="3"/>
        <v>-59.111717934302469</v>
      </c>
    </row>
    <row r="11" spans="1:19" ht="25.5">
      <c r="A11" s="150" t="s">
        <v>90</v>
      </c>
      <c r="B11" s="150">
        <v>0</v>
      </c>
      <c r="C11" s="150">
        <v>0</v>
      </c>
      <c r="D11" s="151">
        <v>-73600</v>
      </c>
      <c r="E11" s="151">
        <v>-73600</v>
      </c>
      <c r="O11" s="150" t="s">
        <v>1182</v>
      </c>
      <c r="P11" s="170">
        <f t="shared" si="0"/>
        <v>81.117982491366163</v>
      </c>
      <c r="Q11" s="170">
        <f t="shared" si="1"/>
        <v>100.79511685808369</v>
      </c>
      <c r="R11" s="170">
        <f t="shared" si="2"/>
        <v>4.2181350895510406</v>
      </c>
      <c r="S11" s="170">
        <f t="shared" si="3"/>
        <v>4.2181350895510406</v>
      </c>
    </row>
    <row r="12" spans="1:19">
      <c r="A12" s="150" t="s">
        <v>1182</v>
      </c>
      <c r="B12" s="151">
        <v>101000</v>
      </c>
      <c r="C12" s="151">
        <v>125500</v>
      </c>
      <c r="D12" s="151">
        <v>5252</v>
      </c>
      <c r="E12" s="151">
        <v>5252</v>
      </c>
      <c r="O12" s="150" t="s">
        <v>1224</v>
      </c>
      <c r="P12" s="170">
        <f t="shared" si="0"/>
        <v>2.2247209059513291</v>
      </c>
      <c r="Q12" s="170">
        <f t="shared" si="1"/>
        <v>3.4246245281503498</v>
      </c>
      <c r="R12" s="170">
        <f t="shared" si="2"/>
        <v>0.257569673118625</v>
      </c>
      <c r="S12" s="170">
        <f t="shared" si="3"/>
        <v>0.257569673118625</v>
      </c>
    </row>
    <row r="13" spans="1:19">
      <c r="A13" s="150" t="s">
        <v>1224</v>
      </c>
      <c r="B13" s="151">
        <v>2770</v>
      </c>
      <c r="C13" s="151">
        <v>4264</v>
      </c>
      <c r="D13" s="151">
        <v>320.7</v>
      </c>
      <c r="E13" s="151">
        <v>320.7</v>
      </c>
      <c r="O13" s="150" t="s">
        <v>91</v>
      </c>
      <c r="P13" s="170">
        <f t="shared" si="0"/>
        <v>16.303911332423098</v>
      </c>
      <c r="Q13" s="170">
        <f t="shared" si="1"/>
        <v>0</v>
      </c>
      <c r="R13" s="170">
        <f t="shared" si="2"/>
        <v>0</v>
      </c>
      <c r="S13" s="170">
        <f t="shared" si="3"/>
        <v>0</v>
      </c>
    </row>
    <row r="14" spans="1:19">
      <c r="A14" s="150" t="s">
        <v>91</v>
      </c>
      <c r="B14" s="151">
        <v>20300</v>
      </c>
      <c r="C14" s="151">
        <v>0</v>
      </c>
      <c r="D14" s="151">
        <v>0</v>
      </c>
      <c r="E14" s="151">
        <v>0</v>
      </c>
      <c r="O14" s="142" t="s">
        <v>646</v>
      </c>
      <c r="P14" s="170">
        <f t="shared" si="0"/>
        <v>100</v>
      </c>
      <c r="Q14" s="170">
        <f t="shared" si="1"/>
        <v>143.99261103525822</v>
      </c>
      <c r="R14" s="170">
        <f>(D15/$B$15)*100</f>
        <v>-39.053329049875515</v>
      </c>
      <c r="S14" s="170">
        <f t="shared" si="3"/>
        <v>-36.66235643723396</v>
      </c>
    </row>
    <row r="15" spans="1:19" ht="25.5">
      <c r="A15" s="142" t="s">
        <v>646</v>
      </c>
      <c r="B15" s="274">
        <f>SUM(B3:B14)</f>
        <v>124510</v>
      </c>
      <c r="C15" s="274">
        <f>SUM(C3:C14)</f>
        <v>179285.2</v>
      </c>
      <c r="D15" s="274">
        <f>SUM(D3:D14)</f>
        <v>-48625.3</v>
      </c>
      <c r="E15" s="274">
        <f>SUM(E3:E14)</f>
        <v>-45648.3</v>
      </c>
      <c r="O15" s="150" t="s">
        <v>52</v>
      </c>
      <c r="P15" s="151">
        <v>124000</v>
      </c>
      <c r="Q15" s="151">
        <v>180000</v>
      </c>
      <c r="R15" s="167">
        <v>-48400</v>
      </c>
      <c r="S15" s="167">
        <v>-45400</v>
      </c>
    </row>
    <row r="16" spans="1:19">
      <c r="A16" s="150" t="s">
        <v>52</v>
      </c>
      <c r="B16" s="151">
        <v>124000</v>
      </c>
      <c r="C16" s="151">
        <v>180000</v>
      </c>
      <c r="D16" s="167">
        <v>-48400</v>
      </c>
      <c r="E16" s="167">
        <v>-45400</v>
      </c>
      <c r="R16" s="73">
        <f>SUM(R3:R13)</f>
        <v>-39.053329049875515</v>
      </c>
      <c r="S16" s="73">
        <f>SUM(S3:S13)</f>
        <v>-36.66235643723396</v>
      </c>
    </row>
    <row r="17" spans="1:6">
      <c r="A17" s="164" t="s">
        <v>1170</v>
      </c>
    </row>
    <row r="18" spans="1:6" ht="21.75" customHeight="1">
      <c r="A18" s="335" t="s">
        <v>408</v>
      </c>
      <c r="B18" s="330"/>
      <c r="C18" s="330"/>
      <c r="D18" s="330"/>
      <c r="E18" s="330"/>
      <c r="F18" s="330"/>
    </row>
    <row r="19" spans="1:6" ht="24.75" customHeight="1">
      <c r="A19" s="348" t="s">
        <v>238</v>
      </c>
      <c r="B19" s="330"/>
      <c r="C19" s="330"/>
      <c r="D19" s="330"/>
      <c r="E19" s="330"/>
      <c r="F19" s="330"/>
    </row>
    <row r="20" spans="1:6">
      <c r="A20" s="165" t="s">
        <v>105</v>
      </c>
    </row>
    <row r="21" spans="1:6" ht="25.5">
      <c r="A21" s="150" t="s">
        <v>430</v>
      </c>
      <c r="B21" s="168" t="s">
        <v>92</v>
      </c>
      <c r="C21" s="168" t="s">
        <v>93</v>
      </c>
      <c r="D21" s="168" t="s">
        <v>422</v>
      </c>
      <c r="E21" s="168" t="s">
        <v>94</v>
      </c>
    </row>
    <row r="22" spans="1:6">
      <c r="A22" s="150" t="s">
        <v>108</v>
      </c>
      <c r="B22" s="170">
        <v>20.6</v>
      </c>
      <c r="C22" s="170">
        <v>29.3</v>
      </c>
      <c r="D22" s="170">
        <v>21.8</v>
      </c>
      <c r="E22" s="170">
        <v>21.9</v>
      </c>
    </row>
    <row r="23" spans="1:6">
      <c r="A23" s="150" t="s">
        <v>109</v>
      </c>
      <c r="B23" s="170">
        <v>0.128</v>
      </c>
      <c r="C23" s="170">
        <v>0.17</v>
      </c>
      <c r="D23" s="170">
        <v>-6.1700000000000004E-4</v>
      </c>
      <c r="E23" s="170">
        <v>4.1599999999999996E-3</v>
      </c>
    </row>
    <row r="24" spans="1:6" ht="25.5">
      <c r="A24" s="150" t="s">
        <v>1188</v>
      </c>
      <c r="B24" s="170">
        <v>123</v>
      </c>
      <c r="C24" s="170">
        <v>197</v>
      </c>
      <c r="D24" s="170">
        <v>-133</v>
      </c>
      <c r="E24" s="170">
        <v>-130</v>
      </c>
    </row>
    <row r="25" spans="1:6">
      <c r="A25" s="150" t="s">
        <v>1189</v>
      </c>
      <c r="B25" s="170">
        <v>47.9</v>
      </c>
      <c r="C25" s="170">
        <v>53.3</v>
      </c>
      <c r="D25" s="170">
        <v>-15.3</v>
      </c>
      <c r="E25" s="170">
        <v>-14.6</v>
      </c>
    </row>
    <row r="26" spans="1:6">
      <c r="A26" s="150" t="s">
        <v>107</v>
      </c>
      <c r="B26" s="170">
        <v>0.66500000000000004</v>
      </c>
      <c r="C26" s="170">
        <v>0.88600000000000001</v>
      </c>
      <c r="D26" s="170">
        <v>0.35199999999999998</v>
      </c>
      <c r="E26" s="170">
        <v>0.35399999999999998</v>
      </c>
    </row>
    <row r="27" spans="1:6">
      <c r="A27" s="150" t="s">
        <v>1187</v>
      </c>
      <c r="B27" s="170">
        <v>1.09E-2</v>
      </c>
      <c r="C27" s="170">
        <v>1.3899999999999999E-2</v>
      </c>
      <c r="D27" s="170">
        <v>2.2000000000000001E-3</v>
      </c>
      <c r="E27" s="170">
        <v>2.8600000000000001E-3</v>
      </c>
    </row>
    <row r="28" spans="1:6">
      <c r="A28" s="150" t="s">
        <v>1234</v>
      </c>
      <c r="B28" s="170">
        <v>13.1</v>
      </c>
      <c r="C28" s="170">
        <v>20.2</v>
      </c>
      <c r="D28" s="170">
        <v>10.199999999999999</v>
      </c>
      <c r="E28" s="170">
        <v>10.3</v>
      </c>
    </row>
    <row r="29" spans="1:6" ht="30.75" customHeight="1">
      <c r="A29" s="150" t="s">
        <v>1124</v>
      </c>
      <c r="B29" s="170">
        <v>4.83</v>
      </c>
      <c r="C29" s="170">
        <v>5.95</v>
      </c>
      <c r="D29" s="170">
        <v>-0.85399999999999998</v>
      </c>
      <c r="E29" s="170">
        <v>-0.67300000000000004</v>
      </c>
    </row>
    <row r="30" spans="1:6">
      <c r="A30" s="150" t="s">
        <v>1125</v>
      </c>
      <c r="B30" s="170">
        <v>6.84</v>
      </c>
      <c r="C30" s="170">
        <v>9.7100000000000009</v>
      </c>
      <c r="D30" s="170">
        <v>-0.34399999999999997</v>
      </c>
      <c r="E30" s="170">
        <v>-0.26300000000000001</v>
      </c>
    </row>
    <row r="31" spans="1:6">
      <c r="A31" s="150" t="s">
        <v>1237</v>
      </c>
      <c r="B31" s="170">
        <v>40.4</v>
      </c>
      <c r="C31" s="170">
        <v>63.6</v>
      </c>
      <c r="D31" s="170">
        <v>-24.9</v>
      </c>
      <c r="E31" s="170">
        <v>-24.8</v>
      </c>
    </row>
    <row r="32" spans="1:6">
      <c r="A32" s="150" t="s">
        <v>1238</v>
      </c>
      <c r="B32" s="170">
        <v>147</v>
      </c>
      <c r="C32" s="170">
        <v>203</v>
      </c>
      <c r="D32" s="170">
        <v>17.100000000000001</v>
      </c>
      <c r="E32" s="170">
        <v>24.7</v>
      </c>
    </row>
    <row r="33" spans="1:19">
      <c r="A33" s="165" t="s">
        <v>106</v>
      </c>
    </row>
    <row r="34" spans="1:19" ht="25.5">
      <c r="A34" s="150" t="s">
        <v>430</v>
      </c>
      <c r="B34" s="168" t="s">
        <v>92</v>
      </c>
      <c r="C34" s="168" t="s">
        <v>93</v>
      </c>
      <c r="D34" s="168" t="s">
        <v>422</v>
      </c>
      <c r="E34" s="168" t="s">
        <v>94</v>
      </c>
      <c r="O34" s="150" t="s">
        <v>430</v>
      </c>
      <c r="P34" s="168" t="s">
        <v>92</v>
      </c>
      <c r="Q34" s="168" t="s">
        <v>93</v>
      </c>
      <c r="R34" s="168" t="s">
        <v>422</v>
      </c>
      <c r="S34" s="168" t="s">
        <v>94</v>
      </c>
    </row>
    <row r="35" spans="1:19">
      <c r="A35" s="150" t="s">
        <v>108</v>
      </c>
      <c r="B35" s="151">
        <v>8230</v>
      </c>
      <c r="C35" s="151">
        <v>11700</v>
      </c>
      <c r="D35" s="151">
        <v>8710</v>
      </c>
      <c r="E35" s="151">
        <v>8740</v>
      </c>
      <c r="O35" s="150" t="s">
        <v>108</v>
      </c>
      <c r="P35" s="170">
        <f>(B35/$B$47)*100</f>
        <v>6.6370967741935489</v>
      </c>
      <c r="Q35" s="170">
        <f>(C35/$B$47)*100</f>
        <v>9.435483870967742</v>
      </c>
      <c r="R35" s="170">
        <f>(D35/$B$47)*100</f>
        <v>7.0241935483870961</v>
      </c>
      <c r="S35" s="170">
        <f>(E35/$B$47)*100</f>
        <v>7.0483870967741931</v>
      </c>
    </row>
    <row r="36" spans="1:19" ht="25.5">
      <c r="A36" s="150" t="s">
        <v>109</v>
      </c>
      <c r="B36" s="150">
        <v>51.1</v>
      </c>
      <c r="C36" s="150">
        <v>67.900000000000006</v>
      </c>
      <c r="D36" s="150">
        <v>-0.247</v>
      </c>
      <c r="E36" s="150">
        <v>1.66</v>
      </c>
      <c r="O36" s="150" t="s">
        <v>109</v>
      </c>
      <c r="P36" s="170">
        <f t="shared" ref="P36:P45" si="4">(B36/$B$47)*100</f>
        <v>4.1209677419354836E-2</v>
      </c>
      <c r="Q36" s="170">
        <f t="shared" ref="Q36:Q45" si="5">(C36/$B$47)*100</f>
        <v>5.4758064516129037E-2</v>
      </c>
      <c r="R36" s="170">
        <f t="shared" ref="R36:R45" si="6">(D36/$B$47)*100</f>
        <v>-1.9919354838709676E-4</v>
      </c>
      <c r="S36" s="170">
        <f t="shared" ref="S36:S45" si="7">(E36/$B$47)*100</f>
        <v>1.3387096774193548E-3</v>
      </c>
    </row>
    <row r="37" spans="1:19" ht="25.5">
      <c r="A37" s="150" t="s">
        <v>1188</v>
      </c>
      <c r="B37" s="151">
        <v>49000</v>
      </c>
      <c r="C37" s="151">
        <v>78600</v>
      </c>
      <c r="D37" s="151">
        <v>-53200</v>
      </c>
      <c r="E37" s="151">
        <v>-52200</v>
      </c>
      <c r="O37" s="150" t="s">
        <v>1188</v>
      </c>
      <c r="P37" s="170">
        <f t="shared" si="4"/>
        <v>39.516129032258064</v>
      </c>
      <c r="Q37" s="170">
        <f t="shared" si="5"/>
        <v>63.387096774193552</v>
      </c>
      <c r="R37" s="170">
        <f t="shared" si="6"/>
        <v>-42.903225806451609</v>
      </c>
      <c r="S37" s="170">
        <f t="shared" si="7"/>
        <v>-42.096774193548384</v>
      </c>
    </row>
    <row r="38" spans="1:19" ht="25.5">
      <c r="A38" s="150" t="s">
        <v>1189</v>
      </c>
      <c r="B38" s="151">
        <v>19200</v>
      </c>
      <c r="C38" s="151">
        <v>21300</v>
      </c>
      <c r="D38" s="151">
        <v>-6100</v>
      </c>
      <c r="E38" s="151">
        <v>-5830</v>
      </c>
      <c r="O38" s="150" t="s">
        <v>1189</v>
      </c>
      <c r="P38" s="170">
        <f t="shared" si="4"/>
        <v>15.483870967741936</v>
      </c>
      <c r="Q38" s="170">
        <f t="shared" si="5"/>
        <v>17.177419354838712</v>
      </c>
      <c r="R38" s="170">
        <f t="shared" si="6"/>
        <v>-4.9193548387096779</v>
      </c>
      <c r="S38" s="170">
        <f t="shared" si="7"/>
        <v>-4.7016129032258061</v>
      </c>
    </row>
    <row r="39" spans="1:19">
      <c r="A39" s="150" t="s">
        <v>107</v>
      </c>
      <c r="B39" s="150">
        <v>266</v>
      </c>
      <c r="C39" s="151">
        <v>354</v>
      </c>
      <c r="D39" s="151">
        <v>141</v>
      </c>
      <c r="E39" s="151">
        <v>142</v>
      </c>
      <c r="O39" s="150" t="s">
        <v>107</v>
      </c>
      <c r="P39" s="170">
        <f t="shared" si="4"/>
        <v>0.21451612903225806</v>
      </c>
      <c r="Q39" s="170">
        <f t="shared" si="5"/>
        <v>0.28548387096774197</v>
      </c>
      <c r="R39" s="170">
        <f t="shared" si="6"/>
        <v>0.11370967741935484</v>
      </c>
      <c r="S39" s="170">
        <f t="shared" si="7"/>
        <v>0.11451612903225807</v>
      </c>
    </row>
    <row r="40" spans="1:19" ht="25.5">
      <c r="A40" s="150" t="s">
        <v>1187</v>
      </c>
      <c r="B40" s="150">
        <v>4.34</v>
      </c>
      <c r="C40" s="150">
        <v>5.58</v>
      </c>
      <c r="D40" s="150">
        <v>0.88</v>
      </c>
      <c r="E40" s="150">
        <v>1.1399999999999999</v>
      </c>
      <c r="O40" s="150" t="s">
        <v>1187</v>
      </c>
      <c r="P40" s="170">
        <f t="shared" si="4"/>
        <v>3.4999999999999996E-3</v>
      </c>
      <c r="Q40" s="170">
        <f t="shared" si="5"/>
        <v>4.5000000000000005E-3</v>
      </c>
      <c r="R40" s="170">
        <f t="shared" si="6"/>
        <v>7.0967741935483875E-4</v>
      </c>
      <c r="S40" s="170">
        <f t="shared" si="7"/>
        <v>9.1935483870967728E-4</v>
      </c>
    </row>
    <row r="41" spans="1:19">
      <c r="A41" s="150" t="s">
        <v>1234</v>
      </c>
      <c r="B41" s="151">
        <v>5220</v>
      </c>
      <c r="C41" s="151">
        <v>8090</v>
      </c>
      <c r="D41" s="151">
        <v>4060</v>
      </c>
      <c r="E41" s="151">
        <v>4110</v>
      </c>
      <c r="O41" s="150" t="s">
        <v>1234</v>
      </c>
      <c r="P41" s="170">
        <f t="shared" si="4"/>
        <v>4.209677419354839</v>
      </c>
      <c r="Q41" s="170">
        <f t="shared" si="5"/>
        <v>6.524193548387097</v>
      </c>
      <c r="R41" s="170">
        <f t="shared" si="6"/>
        <v>3.274193548387097</v>
      </c>
      <c r="S41" s="170">
        <f t="shared" si="7"/>
        <v>3.314516129032258</v>
      </c>
    </row>
    <row r="42" spans="1:19" ht="51">
      <c r="A42" s="150" t="s">
        <v>1124</v>
      </c>
      <c r="B42" s="151">
        <v>1930</v>
      </c>
      <c r="C42" s="151">
        <v>2380</v>
      </c>
      <c r="D42" s="151">
        <v>-342</v>
      </c>
      <c r="E42" s="151">
        <v>-269</v>
      </c>
      <c r="O42" s="150" t="s">
        <v>1124</v>
      </c>
      <c r="P42" s="170">
        <f t="shared" si="4"/>
        <v>1.5564516129032258</v>
      </c>
      <c r="Q42" s="170">
        <f t="shared" si="5"/>
        <v>1.9193548387096773</v>
      </c>
      <c r="R42" s="170">
        <f t="shared" si="6"/>
        <v>-0.27580645161290318</v>
      </c>
      <c r="S42" s="170">
        <f t="shared" si="7"/>
        <v>-0.21693548387096773</v>
      </c>
    </row>
    <row r="43" spans="1:19">
      <c r="A43" s="150" t="s">
        <v>1125</v>
      </c>
      <c r="B43" s="151">
        <v>2740</v>
      </c>
      <c r="C43" s="151">
        <v>3880</v>
      </c>
      <c r="D43" s="151">
        <v>-138</v>
      </c>
      <c r="E43" s="151">
        <v>-105</v>
      </c>
      <c r="O43" s="150" t="s">
        <v>1125</v>
      </c>
      <c r="P43" s="170">
        <f t="shared" si="4"/>
        <v>2.209677419354839</v>
      </c>
      <c r="Q43" s="170">
        <f t="shared" si="5"/>
        <v>3.129032258064516</v>
      </c>
      <c r="R43" s="170">
        <f t="shared" si="6"/>
        <v>-0.11129032258064515</v>
      </c>
      <c r="S43" s="170">
        <f t="shared" si="7"/>
        <v>-8.4677419354838704E-2</v>
      </c>
    </row>
    <row r="44" spans="1:19">
      <c r="A44" s="150" t="s">
        <v>1237</v>
      </c>
      <c r="B44" s="151">
        <v>8080</v>
      </c>
      <c r="C44" s="151">
        <v>12700</v>
      </c>
      <c r="D44" s="151">
        <v>-4970</v>
      </c>
      <c r="E44" s="151">
        <v>-4960</v>
      </c>
      <c r="O44" s="150" t="s">
        <v>1237</v>
      </c>
      <c r="P44" s="170">
        <f t="shared" si="4"/>
        <v>6.5161290322580641</v>
      </c>
      <c r="Q44" s="170">
        <f t="shared" si="5"/>
        <v>10.241935483870968</v>
      </c>
      <c r="R44" s="170">
        <f t="shared" si="6"/>
        <v>-4.008064516129032</v>
      </c>
      <c r="S44" s="170">
        <f t="shared" si="7"/>
        <v>-4</v>
      </c>
    </row>
    <row r="45" spans="1:19" ht="25.5">
      <c r="A45" s="150" t="s">
        <v>1238</v>
      </c>
      <c r="B45" s="151">
        <v>29400</v>
      </c>
      <c r="C45" s="151">
        <v>40600</v>
      </c>
      <c r="D45" s="151">
        <v>3420</v>
      </c>
      <c r="E45" s="151">
        <v>4940</v>
      </c>
      <c r="O45" s="150" t="s">
        <v>1238</v>
      </c>
      <c r="P45" s="170">
        <f t="shared" si="4"/>
        <v>23.70967741935484</v>
      </c>
      <c r="Q45" s="170">
        <f t="shared" si="5"/>
        <v>32.741935483870968</v>
      </c>
      <c r="R45" s="170">
        <f t="shared" si="6"/>
        <v>2.758064516129032</v>
      </c>
      <c r="S45" s="170">
        <f t="shared" si="7"/>
        <v>3.9838709677419355</v>
      </c>
    </row>
    <row r="46" spans="1:19">
      <c r="A46" s="142" t="s">
        <v>646</v>
      </c>
      <c r="B46" s="143">
        <f>SUM(B35:B45)</f>
        <v>124121.44</v>
      </c>
      <c r="C46" s="143">
        <f>SUM(C35:C45)</f>
        <v>179677.47999999998</v>
      </c>
      <c r="D46" s="143">
        <f>SUM(D35:D45)</f>
        <v>-48418.367000000006</v>
      </c>
      <c r="E46" s="143">
        <f>SUM(E35:E45)</f>
        <v>-45429.2</v>
      </c>
      <c r="O46" s="142" t="s">
        <v>646</v>
      </c>
      <c r="P46" s="170">
        <f>(B46/$B$47)*100</f>
        <v>100.09793548387096</v>
      </c>
      <c r="Q46" s="170">
        <f>(C46/$B$47)*100</f>
        <v>144.90119354838708</v>
      </c>
      <c r="R46" s="170">
        <f>(D46/$B$47)*100</f>
        <v>-39.047070161290328</v>
      </c>
      <c r="S46" s="170">
        <f>(E46/$B$47)*100</f>
        <v>-36.636451612903222</v>
      </c>
    </row>
    <row r="47" spans="1:19" ht="25.5">
      <c r="A47" s="150" t="s">
        <v>52</v>
      </c>
      <c r="B47" s="151">
        <v>124000</v>
      </c>
      <c r="C47" s="151">
        <v>180000</v>
      </c>
      <c r="D47" s="167">
        <v>-48400</v>
      </c>
      <c r="E47" s="167">
        <v>-45400</v>
      </c>
      <c r="O47" s="150" t="s">
        <v>52</v>
      </c>
      <c r="P47" s="151">
        <v>124000</v>
      </c>
      <c r="Q47" s="151">
        <v>180000</v>
      </c>
      <c r="R47" s="167">
        <v>-48400</v>
      </c>
      <c r="S47" s="167">
        <v>-45400</v>
      </c>
    </row>
    <row r="49" spans="1:3" ht="25.5">
      <c r="A49" s="150" t="s">
        <v>1218</v>
      </c>
      <c r="B49" s="168" t="s">
        <v>422</v>
      </c>
      <c r="C49" s="168" t="s">
        <v>94</v>
      </c>
    </row>
    <row r="50" spans="1:3">
      <c r="A50" s="150" t="s">
        <v>78</v>
      </c>
      <c r="B50" s="151">
        <v>1000</v>
      </c>
      <c r="C50" s="151">
        <v>1000</v>
      </c>
    </row>
    <row r="51" spans="1:3">
      <c r="A51" s="150" t="s">
        <v>79</v>
      </c>
      <c r="B51" s="151">
        <v>923</v>
      </c>
      <c r="C51" s="151">
        <v>923</v>
      </c>
    </row>
    <row r="52" spans="1:3">
      <c r="A52" s="162" t="s">
        <v>86</v>
      </c>
      <c r="B52" s="151">
        <v>1503</v>
      </c>
      <c r="C52" s="151">
        <v>5820</v>
      </c>
    </row>
    <row r="53" spans="1:3">
      <c r="A53" s="150" t="s">
        <v>11</v>
      </c>
      <c r="B53" s="151">
        <v>4070</v>
      </c>
      <c r="C53" s="151">
        <v>3095</v>
      </c>
    </row>
    <row r="54" spans="1:3">
      <c r="A54" s="150" t="s">
        <v>87</v>
      </c>
      <c r="B54" s="151">
        <v>3234</v>
      </c>
      <c r="C54" s="151">
        <v>3234</v>
      </c>
    </row>
    <row r="55" spans="1:3">
      <c r="A55" s="150" t="s">
        <v>88</v>
      </c>
      <c r="B55" s="151">
        <v>4550</v>
      </c>
      <c r="C55" s="151">
        <v>4550</v>
      </c>
    </row>
    <row r="56" spans="1:3">
      <c r="A56" s="150" t="s">
        <v>89</v>
      </c>
      <c r="B56" s="151">
        <v>4122</v>
      </c>
      <c r="C56" s="151">
        <v>3757</v>
      </c>
    </row>
    <row r="57" spans="1:3" ht="25.5">
      <c r="A57" s="150" t="s">
        <v>90</v>
      </c>
      <c r="B57" s="151">
        <v>-73600</v>
      </c>
      <c r="C57" s="151">
        <v>-73600</v>
      </c>
    </row>
    <row r="58" spans="1:3">
      <c r="A58" s="150" t="s">
        <v>1182</v>
      </c>
      <c r="B58" s="151">
        <v>5252</v>
      </c>
      <c r="C58" s="151">
        <v>5252</v>
      </c>
    </row>
    <row r="59" spans="1:3">
      <c r="A59" s="150" t="s">
        <v>1224</v>
      </c>
      <c r="B59" s="151">
        <v>320.7</v>
      </c>
      <c r="C59" s="151">
        <v>320.7</v>
      </c>
    </row>
    <row r="65" spans="1:2" ht="15">
      <c r="A65" s="55" t="s">
        <v>283</v>
      </c>
    </row>
    <row r="66" spans="1:2">
      <c r="A66" t="s">
        <v>769</v>
      </c>
      <c r="B66">
        <v>760</v>
      </c>
    </row>
    <row r="67" spans="1:2">
      <c r="A67" t="s">
        <v>1016</v>
      </c>
      <c r="B67">
        <v>35</v>
      </c>
    </row>
    <row r="68" spans="1:2">
      <c r="A68" t="s">
        <v>902</v>
      </c>
      <c r="B68">
        <v>48</v>
      </c>
    </row>
    <row r="69" spans="1:2">
      <c r="A69" s="47" t="s">
        <v>903</v>
      </c>
      <c r="B69">
        <v>75</v>
      </c>
    </row>
    <row r="70" spans="1:2" ht="42.75">
      <c r="A70" s="47" t="s">
        <v>904</v>
      </c>
      <c r="B70">
        <v>3.22</v>
      </c>
    </row>
    <row r="71" spans="1:2" ht="42.75">
      <c r="A71" s="47" t="s">
        <v>905</v>
      </c>
      <c r="B71" s="73">
        <f>B70*141.9/95.65</f>
        <v>4.7769785676947203</v>
      </c>
    </row>
    <row r="72" spans="1:2" ht="28.5">
      <c r="A72" s="47" t="s">
        <v>906</v>
      </c>
      <c r="B72">
        <v>6</v>
      </c>
    </row>
    <row r="73" spans="1:2">
      <c r="A73" s="47" t="s">
        <v>907</v>
      </c>
      <c r="B73">
        <v>5500</v>
      </c>
    </row>
    <row r="74" spans="1:2">
      <c r="A74" s="47" t="s">
        <v>908</v>
      </c>
      <c r="B74">
        <v>8000</v>
      </c>
    </row>
    <row r="75" spans="1:2" ht="28.5">
      <c r="A75" s="47" t="s">
        <v>909</v>
      </c>
      <c r="B75">
        <v>1735</v>
      </c>
    </row>
    <row r="76" spans="1:2" ht="28.5">
      <c r="A76" s="47" t="s">
        <v>910</v>
      </c>
      <c r="B76">
        <v>2911</v>
      </c>
    </row>
    <row r="77" spans="1:2" ht="28.5">
      <c r="A77" s="47" t="s">
        <v>911</v>
      </c>
      <c r="B77">
        <v>19.5</v>
      </c>
    </row>
    <row r="78" spans="1:2" ht="42.75">
      <c r="A78" s="47" t="s">
        <v>764</v>
      </c>
      <c r="B78">
        <v>8.1</v>
      </c>
    </row>
    <row r="79" spans="1:2" ht="57">
      <c r="A79" s="47" t="s">
        <v>765</v>
      </c>
      <c r="B79">
        <v>4.8</v>
      </c>
    </row>
    <row r="80" spans="1:2" ht="28.5">
      <c r="A80" s="47" t="s">
        <v>912</v>
      </c>
      <c r="B80">
        <v>600</v>
      </c>
    </row>
    <row r="81" spans="1:9">
      <c r="A81" s="47" t="s">
        <v>985</v>
      </c>
      <c r="B81">
        <v>4</v>
      </c>
    </row>
    <row r="82" spans="1:9" ht="42.75">
      <c r="A82" s="47" t="s">
        <v>845</v>
      </c>
      <c r="B82">
        <v>190</v>
      </c>
    </row>
    <row r="83" spans="1:9" ht="42.75">
      <c r="A83" s="47" t="s">
        <v>846</v>
      </c>
      <c r="B83">
        <v>5</v>
      </c>
      <c r="C83">
        <v>10</v>
      </c>
    </row>
    <row r="84" spans="1:9" ht="42.75">
      <c r="A84" s="47" t="s">
        <v>542</v>
      </c>
      <c r="B84">
        <v>5000</v>
      </c>
    </row>
    <row r="85" spans="1:9">
      <c r="A85" s="47"/>
      <c r="B85" t="s">
        <v>669</v>
      </c>
      <c r="C85" t="s">
        <v>766</v>
      </c>
    </row>
    <row r="86" spans="1:9" ht="28.5">
      <c r="A86" s="47" t="s">
        <v>887</v>
      </c>
      <c r="B86">
        <v>375</v>
      </c>
      <c r="C86">
        <v>385</v>
      </c>
      <c r="D86" t="s">
        <v>889</v>
      </c>
      <c r="E86" t="s">
        <v>767</v>
      </c>
    </row>
    <row r="87" spans="1:9" ht="28.5">
      <c r="A87" s="47" t="s">
        <v>888</v>
      </c>
      <c r="B87">
        <v>563</v>
      </c>
      <c r="C87">
        <v>570</v>
      </c>
      <c r="D87" t="s">
        <v>889</v>
      </c>
      <c r="E87" t="s">
        <v>767</v>
      </c>
    </row>
    <row r="88" spans="1:9" ht="30">
      <c r="A88" s="59" t="s">
        <v>284</v>
      </c>
    </row>
    <row r="89" spans="1:9" ht="28.5">
      <c r="A89" s="49" t="s">
        <v>1032</v>
      </c>
      <c r="B89" s="346" t="s">
        <v>671</v>
      </c>
      <c r="C89" s="347"/>
      <c r="D89" s="346" t="s">
        <v>543</v>
      </c>
      <c r="E89" s="347"/>
      <c r="F89" s="346" t="s">
        <v>670</v>
      </c>
      <c r="G89" s="347"/>
      <c r="H89" s="346" t="s">
        <v>668</v>
      </c>
      <c r="I89" s="347"/>
    </row>
    <row r="90" spans="1:9">
      <c r="A90" s="49"/>
      <c r="B90" s="249">
        <v>2011</v>
      </c>
      <c r="C90" s="249" t="s">
        <v>1024</v>
      </c>
      <c r="D90" s="249">
        <v>2011</v>
      </c>
      <c r="E90" s="249" t="s">
        <v>1025</v>
      </c>
      <c r="F90" s="249">
        <v>2011</v>
      </c>
      <c r="G90" s="249" t="s">
        <v>1026</v>
      </c>
      <c r="H90" s="249">
        <v>2011</v>
      </c>
      <c r="I90" s="249" t="s">
        <v>1027</v>
      </c>
    </row>
    <row r="91" spans="1:9">
      <c r="A91" s="49" t="s">
        <v>1254</v>
      </c>
      <c r="B91" s="250">
        <f>(B67*B73)</f>
        <v>192500</v>
      </c>
      <c r="C91" s="250">
        <f>(B67*B74)</f>
        <v>280000</v>
      </c>
      <c r="D91" s="250">
        <f>(B68*B73)</f>
        <v>264000</v>
      </c>
      <c r="E91" s="250">
        <f>(B68*B74)</f>
        <v>384000</v>
      </c>
      <c r="F91" s="250">
        <f>(B69*B73)</f>
        <v>412500</v>
      </c>
      <c r="G91" s="250">
        <f>(B69*B74)</f>
        <v>600000</v>
      </c>
      <c r="H91" s="250">
        <v>0</v>
      </c>
      <c r="I91" s="250">
        <v>0</v>
      </c>
    </row>
    <row r="92" spans="1:9" ht="28.5">
      <c r="A92" s="49" t="s">
        <v>1255</v>
      </c>
      <c r="B92" s="250">
        <f>(B67*B70*B72)</f>
        <v>676.2</v>
      </c>
      <c r="C92" s="250">
        <f>(B67*B71*B72)</f>
        <v>1003.1654992158913</v>
      </c>
      <c r="D92" s="250">
        <f>(B68*B70*B72)</f>
        <v>927.36</v>
      </c>
      <c r="E92" s="250">
        <f>(B68*B71*B72)</f>
        <v>1375.7698274960794</v>
      </c>
      <c r="F92" s="250">
        <f>(B69*B70*B72)</f>
        <v>1449.0000000000002</v>
      </c>
      <c r="G92" s="250">
        <f>(B69*B71*B72)</f>
        <v>2149.640355462624</v>
      </c>
      <c r="H92" s="250">
        <v>0</v>
      </c>
      <c r="I92" s="250">
        <v>0</v>
      </c>
    </row>
    <row r="93" spans="1:9" ht="28.5">
      <c r="A93" s="49" t="s">
        <v>1256</v>
      </c>
      <c r="B93" s="250">
        <f t="shared" ref="B93:G93" si="8">1*B92</f>
        <v>676.2</v>
      </c>
      <c r="C93" s="250">
        <f t="shared" si="8"/>
        <v>1003.1654992158913</v>
      </c>
      <c r="D93" s="250">
        <f t="shared" si="8"/>
        <v>927.36</v>
      </c>
      <c r="E93" s="250">
        <f t="shared" si="8"/>
        <v>1375.7698274960794</v>
      </c>
      <c r="F93" s="250">
        <f t="shared" si="8"/>
        <v>1449.0000000000002</v>
      </c>
      <c r="G93" s="250">
        <f t="shared" si="8"/>
        <v>2149.640355462624</v>
      </c>
      <c r="H93" s="250">
        <f>(B80*B81*B83)</f>
        <v>12000</v>
      </c>
      <c r="I93" s="250">
        <f>(B80*B81*C83)</f>
        <v>24000</v>
      </c>
    </row>
    <row r="94" spans="1:9" ht="28.5">
      <c r="A94" s="49" t="s">
        <v>1258</v>
      </c>
      <c r="B94" s="250">
        <f>(B67*B75*B77)</f>
        <v>1184137.5</v>
      </c>
      <c r="C94" s="250">
        <f>(B67*B76*B77)</f>
        <v>1986757.5</v>
      </c>
      <c r="D94" s="250">
        <f>(B68*B75*B77)</f>
        <v>1623960</v>
      </c>
      <c r="E94" s="250">
        <f>(B68*B76*B77)</f>
        <v>2724696</v>
      </c>
      <c r="F94" s="250">
        <f>(B69*B75*B77)</f>
        <v>2537437.5</v>
      </c>
      <c r="G94" s="250">
        <f>(B69*B76*B77)</f>
        <v>4257337.5</v>
      </c>
      <c r="H94" s="250">
        <f>(B81*B82*B75)</f>
        <v>1318600</v>
      </c>
      <c r="I94" s="250">
        <f>(B81*B82*B76)</f>
        <v>2212360</v>
      </c>
    </row>
    <row r="95" spans="1:9">
      <c r="A95" s="49" t="s">
        <v>1257</v>
      </c>
      <c r="B95" s="250">
        <f>(B78/100)*B94</f>
        <v>95915.137499999997</v>
      </c>
      <c r="C95" s="250">
        <f>(B79/100)*C94</f>
        <v>95364.36</v>
      </c>
      <c r="D95" s="250">
        <f>(B78/100)*D94</f>
        <v>131540.76</v>
      </c>
      <c r="E95" s="250">
        <f>(B79/100)*E94</f>
        <v>130785.408</v>
      </c>
      <c r="F95" s="250">
        <f>(B78/100)*F94</f>
        <v>205532.4375</v>
      </c>
      <c r="G95" s="250">
        <f>(B79/100)*G94</f>
        <v>204352.2</v>
      </c>
      <c r="H95" s="250">
        <f>(B78/100)*H94</f>
        <v>106806.6</v>
      </c>
      <c r="I95" s="250">
        <f>(B79/100)*I94</f>
        <v>106193.28</v>
      </c>
    </row>
    <row r="96" spans="1:9" ht="28.5">
      <c r="A96" s="49" t="s">
        <v>1259</v>
      </c>
      <c r="B96" s="250">
        <v>0</v>
      </c>
      <c r="C96" s="250">
        <v>0</v>
      </c>
      <c r="D96" s="250">
        <v>0</v>
      </c>
      <c r="E96" s="250">
        <v>0</v>
      </c>
      <c r="F96" s="250">
        <v>0</v>
      </c>
      <c r="G96" s="250">
        <v>0</v>
      </c>
      <c r="H96" s="250">
        <f>(B84*B81*B83)</f>
        <v>100000</v>
      </c>
      <c r="I96" s="250">
        <f>(B84*B81*C83)</f>
        <v>200000</v>
      </c>
    </row>
    <row r="97" spans="1:9">
      <c r="A97" s="49" t="s">
        <v>54</v>
      </c>
      <c r="B97" s="250">
        <f>(B86*B66)</f>
        <v>285000</v>
      </c>
      <c r="C97" s="250">
        <f>(C86*B66)</f>
        <v>292600</v>
      </c>
      <c r="D97" s="250">
        <f>(B86*B66)</f>
        <v>285000</v>
      </c>
      <c r="E97" s="250">
        <f>(C86*B66)</f>
        <v>292600</v>
      </c>
      <c r="F97" s="250">
        <f>(B86*B66)</f>
        <v>285000</v>
      </c>
      <c r="G97" s="250">
        <f>(C86*B66)</f>
        <v>292600</v>
      </c>
      <c r="H97" s="250">
        <v>0</v>
      </c>
      <c r="I97" s="250">
        <v>0</v>
      </c>
    </row>
    <row r="98" spans="1:9">
      <c r="A98" s="49" t="s">
        <v>53</v>
      </c>
      <c r="B98" s="250">
        <f>(B87*B66)</f>
        <v>427880</v>
      </c>
      <c r="C98" s="250">
        <f>(C87*B66)</f>
        <v>433200</v>
      </c>
      <c r="D98" s="250">
        <f>(B87*B66)</f>
        <v>427880</v>
      </c>
      <c r="E98" s="250">
        <f>(C87*B66)</f>
        <v>433200</v>
      </c>
      <c r="F98" s="250">
        <f>(B87*B66)</f>
        <v>427880</v>
      </c>
      <c r="G98" s="250">
        <f>(C87*B66)</f>
        <v>433200</v>
      </c>
      <c r="H98" s="250">
        <v>0</v>
      </c>
      <c r="I98" s="250">
        <v>0</v>
      </c>
    </row>
    <row r="99" spans="1:9" ht="15">
      <c r="A99" s="248" t="s">
        <v>863</v>
      </c>
      <c r="B99" s="251">
        <f>SUM(B91:B98)</f>
        <v>2186785.0374999996</v>
      </c>
      <c r="C99" s="251">
        <f t="shared" ref="C99:I99" si="9">SUM(C91:C98)</f>
        <v>3089928.1909984318</v>
      </c>
      <c r="D99" s="251">
        <f t="shared" si="9"/>
        <v>2734235.48</v>
      </c>
      <c r="E99" s="251">
        <f t="shared" si="9"/>
        <v>3968032.9476549919</v>
      </c>
      <c r="F99" s="251">
        <f t="shared" si="9"/>
        <v>3871247.9375</v>
      </c>
      <c r="G99" s="251">
        <f t="shared" si="9"/>
        <v>5791788.9807109255</v>
      </c>
      <c r="H99" s="251">
        <f t="shared" si="9"/>
        <v>1537406.6</v>
      </c>
      <c r="I99" s="251">
        <f t="shared" si="9"/>
        <v>2542553.2799999998</v>
      </c>
    </row>
    <row r="100" spans="1:9">
      <c r="A100" s="150"/>
      <c r="B100" s="268" t="s">
        <v>1046</v>
      </c>
      <c r="C100" s="269" t="s">
        <v>1045</v>
      </c>
      <c r="D100" s="270" t="s">
        <v>1047</v>
      </c>
      <c r="E100" s="266"/>
      <c r="F100" s="266"/>
      <c r="G100" s="266"/>
      <c r="H100" s="266"/>
      <c r="I100" s="266"/>
    </row>
    <row r="101" spans="1:9">
      <c r="A101" s="150" t="s">
        <v>1033</v>
      </c>
      <c r="B101" s="271">
        <f>(1*C99)</f>
        <v>3089928.1909984318</v>
      </c>
      <c r="C101" s="271">
        <f>(1*E99)</f>
        <v>3968032.9476549919</v>
      </c>
      <c r="D101" s="271">
        <f>(1*G99)</f>
        <v>5791788.9807109255</v>
      </c>
      <c r="E101" s="117"/>
      <c r="F101" s="267"/>
      <c r="G101" s="117"/>
      <c r="H101" s="267"/>
      <c r="I101" s="267"/>
    </row>
    <row r="102" spans="1:9" ht="25.5">
      <c r="A102" s="150" t="s">
        <v>1146</v>
      </c>
      <c r="B102" s="271">
        <f>(B101/760)</f>
        <v>4065.6949881558312</v>
      </c>
      <c r="C102" s="271">
        <f>(C101/760)</f>
        <v>5221.0959837565679</v>
      </c>
      <c r="D102" s="271">
        <f>(D101/760)</f>
        <v>7620.7749746196387</v>
      </c>
      <c r="E102" s="117"/>
      <c r="F102" s="267"/>
      <c r="G102" s="117"/>
      <c r="H102" s="267"/>
      <c r="I102" s="267"/>
    </row>
    <row r="103" spans="1:9">
      <c r="A103" s="152"/>
      <c r="B103" s="155"/>
      <c r="C103" s="155"/>
      <c r="D103" s="155"/>
    </row>
  </sheetData>
  <mergeCells count="6">
    <mergeCell ref="H89:I89"/>
    <mergeCell ref="A18:F18"/>
    <mergeCell ref="A19:F19"/>
    <mergeCell ref="B89:C89"/>
    <mergeCell ref="D89:E89"/>
    <mergeCell ref="F89:G89"/>
  </mergeCells>
  <phoneticPr fontId="5" type="noConversion"/>
  <pageMargins left="0.75" right="0.75" top="1" bottom="1" header="0.5" footer="0.5"/>
  <rowBreaks count="1" manualBreakCount="1">
    <brk id="48" max="13" man="1"/>
  </rowBreaks>
  <colBreaks count="1" manualBreakCount="1">
    <brk id="14" max="1048575" man="1"/>
  </col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C227"/>
  <sheetViews>
    <sheetView workbookViewId="0">
      <selection activeCell="A199" sqref="A199"/>
    </sheetView>
  </sheetViews>
  <sheetFormatPr defaultColWidth="8.75" defaultRowHeight="14.25"/>
  <cols>
    <col min="1" max="1" width="11" customWidth="1"/>
    <col min="2" max="2" width="12" customWidth="1"/>
    <col min="3" max="3" width="11.75" customWidth="1"/>
    <col min="4" max="4" width="11.875" customWidth="1"/>
    <col min="5" max="5" width="12.375" customWidth="1"/>
    <col min="6" max="6" width="11.125" customWidth="1"/>
    <col min="7" max="7" width="11.25" customWidth="1"/>
    <col min="24" max="28" width="10" bestFit="1" customWidth="1"/>
  </cols>
  <sheetData>
    <row r="1" spans="1:7">
      <c r="A1" s="165" t="s">
        <v>1216</v>
      </c>
    </row>
    <row r="2" spans="1:7" ht="52.5" customHeight="1">
      <c r="A2" s="150" t="s">
        <v>1218</v>
      </c>
      <c r="B2" s="168" t="s">
        <v>944</v>
      </c>
      <c r="C2" s="168" t="s">
        <v>1058</v>
      </c>
      <c r="D2" s="168" t="s">
        <v>1059</v>
      </c>
      <c r="E2" s="168" t="s">
        <v>1060</v>
      </c>
      <c r="F2" s="168" t="s">
        <v>1061</v>
      </c>
      <c r="G2" s="168" t="s">
        <v>1221</v>
      </c>
    </row>
    <row r="3" spans="1:7">
      <c r="A3" s="150" t="s">
        <v>8</v>
      </c>
      <c r="B3" s="151">
        <v>0</v>
      </c>
      <c r="C3" s="151">
        <v>0</v>
      </c>
      <c r="D3" s="151">
        <v>0</v>
      </c>
      <c r="E3" s="151">
        <v>0</v>
      </c>
      <c r="F3" s="151">
        <v>0</v>
      </c>
      <c r="G3" s="151">
        <v>0</v>
      </c>
    </row>
    <row r="4" spans="1:7">
      <c r="A4" s="150" t="s">
        <v>78</v>
      </c>
      <c r="B4" s="151">
        <v>1000</v>
      </c>
      <c r="C4" s="151">
        <v>1000</v>
      </c>
      <c r="D4" s="151">
        <v>1000</v>
      </c>
      <c r="E4" s="151">
        <v>1000</v>
      </c>
      <c r="F4" s="151">
        <v>1000</v>
      </c>
      <c r="G4" s="151">
        <v>1000</v>
      </c>
    </row>
    <row r="5" spans="1:7" ht="25.5">
      <c r="A5" s="150" t="s">
        <v>79</v>
      </c>
      <c r="B5" s="151">
        <v>923</v>
      </c>
      <c r="C5" s="151">
        <v>923</v>
      </c>
      <c r="D5" s="151">
        <v>923</v>
      </c>
      <c r="E5" s="151">
        <v>923</v>
      </c>
      <c r="F5" s="151">
        <v>923</v>
      </c>
      <c r="G5" s="151">
        <v>923</v>
      </c>
    </row>
    <row r="6" spans="1:7" ht="25.5">
      <c r="A6" s="162" t="s">
        <v>86</v>
      </c>
      <c r="B6" s="151">
        <v>5820</v>
      </c>
      <c r="C6" s="151">
        <v>3813</v>
      </c>
      <c r="D6" s="151">
        <v>4768</v>
      </c>
      <c r="E6" s="151">
        <v>3605</v>
      </c>
      <c r="F6" s="151">
        <v>10290</v>
      </c>
      <c r="G6" s="151">
        <v>4402</v>
      </c>
    </row>
    <row r="7" spans="1:7">
      <c r="A7" s="150" t="s">
        <v>11</v>
      </c>
      <c r="B7" s="151">
        <v>3095</v>
      </c>
      <c r="C7" s="151">
        <v>6400</v>
      </c>
      <c r="D7" s="151">
        <v>2243</v>
      </c>
      <c r="E7" s="151">
        <v>5600</v>
      </c>
      <c r="F7" s="151">
        <v>9796</v>
      </c>
      <c r="G7" s="151">
        <v>0</v>
      </c>
    </row>
    <row r="8" spans="1:7">
      <c r="A8" s="150" t="s">
        <v>87</v>
      </c>
      <c r="B8" s="151">
        <v>3234</v>
      </c>
      <c r="C8" s="151">
        <v>3234</v>
      </c>
      <c r="D8" s="151">
        <v>3234</v>
      </c>
      <c r="E8" s="151">
        <v>3234</v>
      </c>
      <c r="F8" s="151">
        <v>3234</v>
      </c>
      <c r="G8" s="151">
        <v>3234</v>
      </c>
    </row>
    <row r="9" spans="1:7">
      <c r="A9" s="150" t="s">
        <v>88</v>
      </c>
      <c r="B9" s="151">
        <v>4550</v>
      </c>
      <c r="C9" s="151">
        <v>3570</v>
      </c>
      <c r="D9" s="151">
        <v>10600</v>
      </c>
      <c r="E9" s="151">
        <v>10600</v>
      </c>
      <c r="F9" s="151">
        <v>21700</v>
      </c>
      <c r="G9" s="151">
        <v>17500</v>
      </c>
    </row>
    <row r="10" spans="1:7" ht="25.5">
      <c r="A10" s="150" t="s">
        <v>89</v>
      </c>
      <c r="B10" s="151">
        <v>3757</v>
      </c>
      <c r="C10" s="151">
        <v>3757</v>
      </c>
      <c r="D10" s="151">
        <v>3757</v>
      </c>
      <c r="E10" s="151">
        <v>3757</v>
      </c>
      <c r="F10" s="151">
        <v>3757</v>
      </c>
      <c r="G10" s="151">
        <v>3757</v>
      </c>
    </row>
    <row r="11" spans="1:7" ht="25.5">
      <c r="A11" s="150" t="s">
        <v>90</v>
      </c>
      <c r="B11" s="151">
        <v>-73600</v>
      </c>
      <c r="C11" s="151">
        <v>-73600</v>
      </c>
      <c r="D11" s="151">
        <v>-73600</v>
      </c>
      <c r="E11" s="151">
        <v>-73600</v>
      </c>
      <c r="F11" s="151">
        <v>-73600</v>
      </c>
      <c r="G11" s="151">
        <v>-73600</v>
      </c>
    </row>
    <row r="12" spans="1:7">
      <c r="A12" s="150" t="s">
        <v>1182</v>
      </c>
      <c r="B12" s="151">
        <v>5252</v>
      </c>
      <c r="C12" s="151">
        <v>5252</v>
      </c>
      <c r="D12" s="151">
        <v>5252</v>
      </c>
      <c r="E12" s="151">
        <v>5252</v>
      </c>
      <c r="F12" s="151">
        <v>5252</v>
      </c>
      <c r="G12" s="151">
        <v>5252</v>
      </c>
    </row>
    <row r="13" spans="1:7">
      <c r="A13" s="150" t="s">
        <v>1224</v>
      </c>
      <c r="B13" s="151">
        <v>320.7</v>
      </c>
      <c r="C13" s="151">
        <v>320.7</v>
      </c>
      <c r="D13" s="151">
        <v>320.7</v>
      </c>
      <c r="E13" s="151">
        <v>320.7</v>
      </c>
      <c r="F13" s="151">
        <v>320.7</v>
      </c>
      <c r="G13" s="151">
        <v>320.7</v>
      </c>
    </row>
    <row r="14" spans="1:7">
      <c r="A14" s="150" t="s">
        <v>91</v>
      </c>
      <c r="B14" s="151">
        <v>0</v>
      </c>
      <c r="C14" s="151">
        <v>0</v>
      </c>
      <c r="D14" s="151">
        <v>0</v>
      </c>
      <c r="E14" s="151">
        <v>0</v>
      </c>
      <c r="F14" s="151">
        <v>0</v>
      </c>
      <c r="G14" s="151">
        <v>0</v>
      </c>
    </row>
    <row r="15" spans="1:7">
      <c r="A15" s="142" t="s">
        <v>646</v>
      </c>
      <c r="B15" s="143">
        <f t="shared" ref="B15:G15" si="0">SUM(B3:B14)</f>
        <v>-45648.3</v>
      </c>
      <c r="C15" s="143">
        <f t="shared" si="0"/>
        <v>-45330.3</v>
      </c>
      <c r="D15" s="143">
        <f t="shared" si="0"/>
        <v>-41502.300000000003</v>
      </c>
      <c r="E15" s="143">
        <f t="shared" si="0"/>
        <v>-39308.300000000003</v>
      </c>
      <c r="F15" s="143">
        <f t="shared" si="0"/>
        <v>-17327.3</v>
      </c>
      <c r="G15" s="143">
        <f t="shared" si="0"/>
        <v>-37211.300000000003</v>
      </c>
    </row>
    <row r="16" spans="1:7" ht="25.5">
      <c r="A16" s="150" t="s">
        <v>52</v>
      </c>
      <c r="B16" s="167">
        <v>-45400</v>
      </c>
      <c r="C16" s="151">
        <v>-45100</v>
      </c>
      <c r="D16" s="167">
        <v>-41200</v>
      </c>
      <c r="E16" s="167">
        <v>-39100</v>
      </c>
      <c r="F16" s="167">
        <v>-17100</v>
      </c>
      <c r="G16" s="167">
        <v>-37000</v>
      </c>
    </row>
    <row r="17" spans="1:7">
      <c r="A17" s="165" t="s">
        <v>1115</v>
      </c>
    </row>
    <row r="18" spans="1:7" ht="38.25">
      <c r="A18" s="150" t="s">
        <v>430</v>
      </c>
      <c r="B18" s="168" t="s">
        <v>944</v>
      </c>
      <c r="C18" s="168" t="s">
        <v>1058</v>
      </c>
      <c r="D18" s="168" t="s">
        <v>1059</v>
      </c>
      <c r="E18" s="168" t="s">
        <v>1060</v>
      </c>
      <c r="F18" s="168" t="s">
        <v>1061</v>
      </c>
      <c r="G18" s="168" t="s">
        <v>1221</v>
      </c>
    </row>
    <row r="19" spans="1:7">
      <c r="A19" s="150" t="s">
        <v>108</v>
      </c>
      <c r="B19" s="170">
        <v>21.9</v>
      </c>
      <c r="C19" s="170">
        <v>21.4</v>
      </c>
      <c r="D19" s="170">
        <v>22.7</v>
      </c>
      <c r="E19" s="170">
        <v>22.8</v>
      </c>
      <c r="F19" s="170">
        <v>24.5</v>
      </c>
      <c r="G19" s="170">
        <v>21.9</v>
      </c>
    </row>
    <row r="20" spans="1:7" ht="25.5">
      <c r="A20" s="150" t="s">
        <v>109</v>
      </c>
      <c r="B20" s="170">
        <v>4.1599999999999996E-3</v>
      </c>
      <c r="C20" s="170">
        <v>3.3500000000000001E-3</v>
      </c>
      <c r="D20" s="170">
        <v>7.0099999999999997E-3</v>
      </c>
      <c r="E20" s="170">
        <v>8.0000000000000002E-3</v>
      </c>
      <c r="F20" s="170">
        <v>2.7900000000000001E-2</v>
      </c>
      <c r="G20" s="170">
        <v>3.13E-3</v>
      </c>
    </row>
    <row r="21" spans="1:7" ht="25.5">
      <c r="A21" s="150" t="s">
        <v>1188</v>
      </c>
      <c r="B21" s="170">
        <v>-130</v>
      </c>
      <c r="C21" s="170">
        <v>-130</v>
      </c>
      <c r="D21" s="170">
        <v>-132</v>
      </c>
      <c r="E21" s="170">
        <v>-128</v>
      </c>
      <c r="F21" s="170">
        <v>-98.8</v>
      </c>
      <c r="G21" s="170">
        <v>-129</v>
      </c>
    </row>
    <row r="22" spans="1:7" ht="25.5">
      <c r="A22" s="150" t="s">
        <v>1189</v>
      </c>
      <c r="B22" s="170">
        <v>-14.6</v>
      </c>
      <c r="C22" s="170">
        <v>-14.5</v>
      </c>
      <c r="D22" s="170">
        <v>-7.78</v>
      </c>
      <c r="E22" s="170">
        <v>-7.56</v>
      </c>
      <c r="F22" s="170">
        <v>-4.12</v>
      </c>
      <c r="G22" s="170">
        <v>-8.82</v>
      </c>
    </row>
    <row r="23" spans="1:7">
      <c r="A23" s="150" t="s">
        <v>107</v>
      </c>
      <c r="B23" s="170">
        <v>0.35399999999999998</v>
      </c>
      <c r="C23" s="170">
        <v>0.65200000000000002</v>
      </c>
      <c r="D23" s="170">
        <v>0.19800000000000001</v>
      </c>
      <c r="E23" s="170">
        <v>0.2</v>
      </c>
      <c r="F23" s="170">
        <v>0.13100000000000001</v>
      </c>
      <c r="G23" s="170">
        <v>0.22500000000000001</v>
      </c>
    </row>
    <row r="24" spans="1:7">
      <c r="A24" s="150" t="s">
        <v>1187</v>
      </c>
      <c r="B24" s="170">
        <v>2.8600000000000001E-3</v>
      </c>
      <c r="C24" s="170">
        <v>2.33E-3</v>
      </c>
      <c r="D24" s="170">
        <v>3.48E-3</v>
      </c>
      <c r="E24" s="170">
        <v>3.5400000000000002E-3</v>
      </c>
      <c r="F24" s="170">
        <v>4.7099999999999998E-3</v>
      </c>
      <c r="G24" s="170">
        <v>2.5200000000000001E-3</v>
      </c>
    </row>
    <row r="25" spans="1:7">
      <c r="A25" s="150" t="s">
        <v>1234</v>
      </c>
      <c r="B25" s="170">
        <v>10.3</v>
      </c>
      <c r="C25" s="170">
        <v>10.3</v>
      </c>
      <c r="D25" s="170">
        <v>10.199999999999999</v>
      </c>
      <c r="E25" s="170">
        <v>10.3</v>
      </c>
      <c r="F25" s="170">
        <v>10.8</v>
      </c>
      <c r="G25" s="170">
        <v>10.1</v>
      </c>
    </row>
    <row r="26" spans="1:7" ht="38.25">
      <c r="A26" s="150" t="s">
        <v>1124</v>
      </c>
      <c r="B26" s="170">
        <v>-0.67300000000000004</v>
      </c>
      <c r="C26" s="170">
        <v>-0.47299999999999998</v>
      </c>
      <c r="D26" s="170">
        <v>-0.59699999999999998</v>
      </c>
      <c r="E26" s="170">
        <v>-0.36499999999999999</v>
      </c>
      <c r="F26" s="170">
        <v>1.29</v>
      </c>
      <c r="G26" s="170">
        <v>-0.504</v>
      </c>
    </row>
    <row r="27" spans="1:7">
      <c r="A27" s="150" t="s">
        <v>1125</v>
      </c>
      <c r="B27" s="170">
        <v>-0.26300000000000001</v>
      </c>
      <c r="C27" s="170">
        <v>-0.41299999999999998</v>
      </c>
      <c r="D27" s="170">
        <v>-0.23</v>
      </c>
      <c r="E27" s="170">
        <v>-0.216</v>
      </c>
      <c r="F27" s="170">
        <v>0.246</v>
      </c>
      <c r="G27" s="170">
        <v>-0.221</v>
      </c>
    </row>
    <row r="28" spans="1:7">
      <c r="A28" s="150" t="s">
        <v>1237</v>
      </c>
      <c r="B28" s="170">
        <v>-24.8</v>
      </c>
      <c r="C28" s="170">
        <v>-24.8</v>
      </c>
      <c r="D28" s="170">
        <v>-24.8</v>
      </c>
      <c r="E28" s="170">
        <v>-24.8</v>
      </c>
      <c r="F28" s="170">
        <v>-24.6</v>
      </c>
      <c r="G28" s="170">
        <v>-24.9</v>
      </c>
    </row>
    <row r="29" spans="1:7">
      <c r="A29" s="150" t="s">
        <v>1238</v>
      </c>
      <c r="B29" s="170">
        <v>24.7</v>
      </c>
      <c r="C29" s="170">
        <v>25.8</v>
      </c>
      <c r="D29" s="170">
        <v>33.700000000000003</v>
      </c>
      <c r="E29" s="170">
        <v>35.4</v>
      </c>
      <c r="F29" s="170">
        <v>71.2</v>
      </c>
      <c r="G29" s="170">
        <v>52.8</v>
      </c>
    </row>
    <row r="30" spans="1:7">
      <c r="A30" s="165" t="s">
        <v>1116</v>
      </c>
    </row>
    <row r="31" spans="1:7" ht="38.25">
      <c r="A31" s="150" t="s">
        <v>430</v>
      </c>
      <c r="B31" s="168" t="s">
        <v>944</v>
      </c>
      <c r="C31" s="168" t="s">
        <v>1058</v>
      </c>
      <c r="D31" s="168" t="s">
        <v>1059</v>
      </c>
      <c r="E31" s="168" t="s">
        <v>1060</v>
      </c>
      <c r="F31" s="168" t="s">
        <v>1061</v>
      </c>
      <c r="G31" s="168" t="s">
        <v>1221</v>
      </c>
    </row>
    <row r="32" spans="1:7">
      <c r="A32" s="150" t="s">
        <v>108</v>
      </c>
      <c r="B32" s="151">
        <v>8740</v>
      </c>
      <c r="C32" s="151">
        <v>8570</v>
      </c>
      <c r="D32" s="151">
        <v>9100</v>
      </c>
      <c r="E32" s="151">
        <v>9110</v>
      </c>
      <c r="F32" s="151">
        <v>9810</v>
      </c>
      <c r="G32" s="151">
        <v>8760</v>
      </c>
    </row>
    <row r="33" spans="1:7" ht="25.5">
      <c r="A33" s="150" t="s">
        <v>109</v>
      </c>
      <c r="B33" s="150">
        <v>1.66</v>
      </c>
      <c r="C33" s="150">
        <v>1.34</v>
      </c>
      <c r="D33" s="150">
        <v>2.8</v>
      </c>
      <c r="E33" s="150">
        <v>3.2</v>
      </c>
      <c r="F33" s="150">
        <v>11.1</v>
      </c>
      <c r="G33" s="150">
        <v>1.25</v>
      </c>
    </row>
    <row r="34" spans="1:7" ht="25.5">
      <c r="A34" s="150" t="s">
        <v>1188</v>
      </c>
      <c r="B34" s="151">
        <v>-52200</v>
      </c>
      <c r="C34" s="151">
        <v>-52100</v>
      </c>
      <c r="D34" s="151">
        <v>-52800</v>
      </c>
      <c r="E34" s="151">
        <v>-51200</v>
      </c>
      <c r="F34" s="151">
        <v>-39500</v>
      </c>
      <c r="G34" s="151">
        <v>-51600</v>
      </c>
    </row>
    <row r="35" spans="1:7" ht="25.5">
      <c r="A35" s="150" t="s">
        <v>1189</v>
      </c>
      <c r="B35" s="151">
        <v>-5830</v>
      </c>
      <c r="C35" s="151">
        <v>-5780</v>
      </c>
      <c r="D35" s="151">
        <v>-3110</v>
      </c>
      <c r="E35" s="151">
        <v>-3020</v>
      </c>
      <c r="F35" s="151">
        <v>-1650</v>
      </c>
      <c r="G35" s="151">
        <v>-3530</v>
      </c>
    </row>
    <row r="36" spans="1:7">
      <c r="A36" s="150" t="s">
        <v>107</v>
      </c>
      <c r="B36" s="151">
        <v>142</v>
      </c>
      <c r="C36" s="151">
        <v>261</v>
      </c>
      <c r="D36" s="151">
        <v>79.3</v>
      </c>
      <c r="E36" s="151">
        <v>79.8</v>
      </c>
      <c r="F36" s="151">
        <v>52.2</v>
      </c>
      <c r="G36" s="151">
        <v>90</v>
      </c>
    </row>
    <row r="37" spans="1:7">
      <c r="A37" s="150" t="s">
        <v>1187</v>
      </c>
      <c r="B37" s="150">
        <v>1.1399999999999999</v>
      </c>
      <c r="C37" s="150">
        <v>0.93300000000000005</v>
      </c>
      <c r="D37" s="150">
        <v>1.39</v>
      </c>
      <c r="E37" s="150">
        <v>1.42</v>
      </c>
      <c r="F37" s="150">
        <v>1.89</v>
      </c>
      <c r="G37" s="150">
        <v>1.01</v>
      </c>
    </row>
    <row r="38" spans="1:7">
      <c r="A38" s="150" t="s">
        <v>1234</v>
      </c>
      <c r="B38" s="151">
        <v>4110</v>
      </c>
      <c r="C38" s="151">
        <v>4120</v>
      </c>
      <c r="D38" s="151">
        <v>4070</v>
      </c>
      <c r="E38" s="151">
        <v>4100</v>
      </c>
      <c r="F38" s="151">
        <v>4320</v>
      </c>
      <c r="G38" s="151">
        <v>4050</v>
      </c>
    </row>
    <row r="39" spans="1:7" ht="38.25">
      <c r="A39" s="150" t="s">
        <v>1124</v>
      </c>
      <c r="B39" s="151">
        <v>-269</v>
      </c>
      <c r="C39" s="151">
        <v>-189</v>
      </c>
      <c r="D39" s="151">
        <v>-239</v>
      </c>
      <c r="E39" s="151">
        <v>-146</v>
      </c>
      <c r="F39" s="151">
        <v>515</v>
      </c>
      <c r="G39" s="151">
        <v>-202</v>
      </c>
    </row>
    <row r="40" spans="1:7">
      <c r="A40" s="150" t="s">
        <v>1125</v>
      </c>
      <c r="B40" s="151">
        <v>-105</v>
      </c>
      <c r="C40" s="151">
        <v>-165</v>
      </c>
      <c r="D40" s="151">
        <v>-92.2</v>
      </c>
      <c r="E40" s="151">
        <v>-86.5</v>
      </c>
      <c r="F40" s="151">
        <v>98.5</v>
      </c>
      <c r="G40" s="151">
        <v>-88.3</v>
      </c>
    </row>
    <row r="41" spans="1:7">
      <c r="A41" s="150" t="s">
        <v>1237</v>
      </c>
      <c r="B41" s="151">
        <v>-4960</v>
      </c>
      <c r="C41" s="151">
        <v>-4960</v>
      </c>
      <c r="D41" s="151">
        <v>-4960</v>
      </c>
      <c r="E41" s="151">
        <v>-4960</v>
      </c>
      <c r="F41" s="151">
        <v>-4920</v>
      </c>
      <c r="G41" s="151">
        <v>-4970</v>
      </c>
    </row>
    <row r="42" spans="1:7">
      <c r="A42" s="150" t="s">
        <v>1238</v>
      </c>
      <c r="B42" s="151">
        <v>4940</v>
      </c>
      <c r="C42" s="151">
        <v>5160</v>
      </c>
      <c r="D42" s="151">
        <v>6740</v>
      </c>
      <c r="E42" s="151">
        <v>7090</v>
      </c>
      <c r="F42" s="151">
        <v>14200</v>
      </c>
      <c r="G42" s="151">
        <v>10600</v>
      </c>
    </row>
    <row r="43" spans="1:7">
      <c r="A43" s="142" t="s">
        <v>646</v>
      </c>
      <c r="B43" s="143">
        <f t="shared" ref="B43:G43" si="1">SUM(B32:B42)</f>
        <v>-45429.2</v>
      </c>
      <c r="C43" s="143">
        <f t="shared" si="1"/>
        <v>-45080.727000000006</v>
      </c>
      <c r="D43" s="143">
        <f t="shared" si="1"/>
        <v>-41207.709999999992</v>
      </c>
      <c r="E43" s="143">
        <f t="shared" si="1"/>
        <v>-39028.080000000002</v>
      </c>
      <c r="F43" s="143">
        <f t="shared" si="1"/>
        <v>-17061.310000000001</v>
      </c>
      <c r="G43" s="143">
        <f t="shared" si="1"/>
        <v>-36888.04</v>
      </c>
    </row>
    <row r="44" spans="1:7" ht="25.5">
      <c r="A44" s="150" t="s">
        <v>52</v>
      </c>
      <c r="B44" s="167">
        <v>-45400</v>
      </c>
      <c r="C44" s="151">
        <v>-45100</v>
      </c>
      <c r="D44" s="167">
        <v>-41200</v>
      </c>
      <c r="E44" s="167">
        <v>-39100</v>
      </c>
      <c r="F44" s="167">
        <v>-17100</v>
      </c>
      <c r="G44" s="167">
        <v>-37000</v>
      </c>
    </row>
    <row r="45" spans="1:7">
      <c r="A45" s="165" t="s">
        <v>989</v>
      </c>
    </row>
    <row r="46" spans="1:7" ht="43.5" customHeight="1">
      <c r="A46" s="150" t="s">
        <v>1218</v>
      </c>
      <c r="B46" s="168" t="s">
        <v>937</v>
      </c>
      <c r="C46" s="168" t="s">
        <v>939</v>
      </c>
      <c r="D46" s="171"/>
      <c r="E46" s="171"/>
    </row>
    <row r="47" spans="1:7">
      <c r="A47" s="150" t="s">
        <v>8</v>
      </c>
      <c r="B47" s="151">
        <v>0</v>
      </c>
      <c r="C47" s="151">
        <v>0</v>
      </c>
      <c r="D47" s="153"/>
      <c r="E47" s="153"/>
    </row>
    <row r="48" spans="1:7">
      <c r="A48" s="150" t="s">
        <v>78</v>
      </c>
      <c r="B48" s="151">
        <v>1000</v>
      </c>
      <c r="C48" s="151">
        <v>1000</v>
      </c>
      <c r="D48" s="153"/>
      <c r="E48" s="153"/>
    </row>
    <row r="49" spans="1:5" ht="25.5">
      <c r="A49" s="150" t="s">
        <v>79</v>
      </c>
      <c r="B49" s="151">
        <v>923</v>
      </c>
      <c r="C49" s="151">
        <v>923</v>
      </c>
      <c r="D49" s="153"/>
      <c r="E49" s="153"/>
    </row>
    <row r="50" spans="1:5" ht="25.5">
      <c r="A50" s="162" t="s">
        <v>86</v>
      </c>
      <c r="B50" s="151">
        <v>5820</v>
      </c>
      <c r="C50" s="151">
        <v>5820</v>
      </c>
      <c r="D50" s="153"/>
      <c r="E50" s="153"/>
    </row>
    <row r="51" spans="1:5">
      <c r="A51" s="150" t="s">
        <v>11</v>
      </c>
      <c r="B51" s="151">
        <v>3095</v>
      </c>
      <c r="C51" s="151">
        <v>3095</v>
      </c>
      <c r="D51" s="153"/>
      <c r="E51" s="153"/>
    </row>
    <row r="52" spans="1:5">
      <c r="A52" s="150" t="s">
        <v>87</v>
      </c>
      <c r="B52" s="151">
        <v>3234</v>
      </c>
      <c r="C52" s="151">
        <v>3234</v>
      </c>
      <c r="D52" s="153"/>
      <c r="E52" s="153"/>
    </row>
    <row r="53" spans="1:5">
      <c r="A53" s="150" t="s">
        <v>88</v>
      </c>
      <c r="B53" s="151">
        <v>4550</v>
      </c>
      <c r="C53" s="151">
        <v>4550</v>
      </c>
      <c r="D53" s="153"/>
      <c r="E53" s="153"/>
    </row>
    <row r="54" spans="1:5" ht="25.5">
      <c r="A54" s="150" t="s">
        <v>89</v>
      </c>
      <c r="B54" s="151">
        <v>3757</v>
      </c>
      <c r="C54" s="151">
        <v>3757</v>
      </c>
      <c r="D54" s="153"/>
      <c r="E54" s="153"/>
    </row>
    <row r="55" spans="1:5" ht="25.5">
      <c r="A55" s="150" t="s">
        <v>90</v>
      </c>
      <c r="B55" s="151">
        <v>-73600</v>
      </c>
      <c r="C55" s="151">
        <v>0</v>
      </c>
      <c r="D55" s="153"/>
      <c r="E55" s="153"/>
    </row>
    <row r="56" spans="1:5">
      <c r="A56" s="150" t="s">
        <v>1182</v>
      </c>
      <c r="B56" s="151">
        <v>5252</v>
      </c>
      <c r="C56" s="151">
        <v>5252</v>
      </c>
      <c r="D56" s="153"/>
      <c r="E56" s="153"/>
    </row>
    <row r="57" spans="1:5">
      <c r="A57" s="150" t="s">
        <v>1224</v>
      </c>
      <c r="B57" s="151">
        <v>320.7</v>
      </c>
      <c r="C57" s="151">
        <v>320.7</v>
      </c>
      <c r="D57" s="153"/>
      <c r="E57" s="153"/>
    </row>
    <row r="58" spans="1:5">
      <c r="A58" s="150" t="s">
        <v>91</v>
      </c>
      <c r="B58" s="151">
        <v>0</v>
      </c>
      <c r="C58" s="151">
        <v>0</v>
      </c>
      <c r="D58" s="153"/>
      <c r="E58" s="153"/>
    </row>
    <row r="59" spans="1:5">
      <c r="A59" s="142" t="s">
        <v>646</v>
      </c>
      <c r="B59" s="143">
        <f>SUM(B47:B58)</f>
        <v>-45648.3</v>
      </c>
      <c r="C59" s="143">
        <f>SUM(C47:C58)</f>
        <v>27951.7</v>
      </c>
      <c r="D59" s="172"/>
      <c r="E59" s="172"/>
    </row>
    <row r="60" spans="1:5" ht="25.5">
      <c r="A60" s="150" t="s">
        <v>52</v>
      </c>
      <c r="B60" s="167">
        <v>-45400</v>
      </c>
      <c r="C60" s="151">
        <v>28000</v>
      </c>
      <c r="D60" s="173"/>
      <c r="E60" s="153"/>
    </row>
    <row r="61" spans="1:5">
      <c r="A61" s="165" t="s">
        <v>935</v>
      </c>
    </row>
    <row r="62" spans="1:5" ht="38.25" customHeight="1">
      <c r="A62" s="150" t="s">
        <v>430</v>
      </c>
      <c r="B62" s="168" t="s">
        <v>937</v>
      </c>
      <c r="C62" s="168" t="s">
        <v>938</v>
      </c>
      <c r="D62" s="171"/>
      <c r="E62" s="171"/>
    </row>
    <row r="63" spans="1:5">
      <c r="A63" s="150" t="s">
        <v>108</v>
      </c>
      <c r="B63" s="170">
        <v>21.9</v>
      </c>
      <c r="C63" s="170">
        <v>2.56</v>
      </c>
      <c r="D63" s="174"/>
      <c r="E63" s="174"/>
    </row>
    <row r="64" spans="1:5" ht="25.5">
      <c r="A64" s="150" t="s">
        <v>109</v>
      </c>
      <c r="B64" s="170">
        <v>4.1599999999999996E-3</v>
      </c>
      <c r="C64" s="170">
        <v>2.5100000000000001E-2</v>
      </c>
      <c r="D64" s="174"/>
      <c r="E64" s="174"/>
    </row>
    <row r="65" spans="1:5" ht="25.5">
      <c r="A65" s="150" t="s">
        <v>1188</v>
      </c>
      <c r="B65" s="170">
        <v>-130</v>
      </c>
      <c r="C65" s="170">
        <v>36.5</v>
      </c>
      <c r="D65" s="174"/>
      <c r="E65" s="174"/>
    </row>
    <row r="66" spans="1:5" ht="25.5">
      <c r="A66" s="150" t="s">
        <v>1189</v>
      </c>
      <c r="B66" s="170">
        <v>-14.6</v>
      </c>
      <c r="C66" s="170">
        <v>6.42</v>
      </c>
      <c r="D66" s="174"/>
      <c r="E66" s="174"/>
    </row>
    <row r="67" spans="1:5">
      <c r="A67" s="150" t="s">
        <v>107</v>
      </c>
      <c r="B67" s="170">
        <v>0.35399999999999998</v>
      </c>
      <c r="C67" s="170">
        <v>0.30099999999999999</v>
      </c>
      <c r="D67" s="174"/>
      <c r="E67" s="174"/>
    </row>
    <row r="68" spans="1:5">
      <c r="A68" s="150" t="s">
        <v>1187</v>
      </c>
      <c r="B68" s="170">
        <v>2.8600000000000001E-3</v>
      </c>
      <c r="C68" s="170">
        <v>2.8300000000000001E-3</v>
      </c>
      <c r="D68" s="174"/>
      <c r="E68" s="174"/>
    </row>
    <row r="69" spans="1:5">
      <c r="A69" s="150" t="s">
        <v>1234</v>
      </c>
      <c r="B69" s="170">
        <v>10.3</v>
      </c>
      <c r="C69" s="170">
        <v>2.0699999999999998</v>
      </c>
      <c r="D69" s="174"/>
      <c r="E69" s="174"/>
    </row>
    <row r="70" spans="1:5" ht="24" customHeight="1">
      <c r="A70" s="150" t="s">
        <v>1124</v>
      </c>
      <c r="B70" s="170">
        <v>-0.67300000000000004</v>
      </c>
      <c r="C70" s="170">
        <v>1.23</v>
      </c>
      <c r="D70" s="174"/>
      <c r="E70" s="174"/>
    </row>
    <row r="71" spans="1:5">
      <c r="A71" s="150" t="s">
        <v>1125</v>
      </c>
      <c r="B71" s="170">
        <v>-0.26300000000000001</v>
      </c>
      <c r="C71" s="170">
        <v>0.96899999999999997</v>
      </c>
      <c r="D71" s="174"/>
      <c r="E71" s="174"/>
    </row>
    <row r="72" spans="1:5">
      <c r="A72" s="150" t="s">
        <v>1237</v>
      </c>
      <c r="B72" s="170">
        <v>-24.8</v>
      </c>
      <c r="C72" s="170">
        <v>4.3499999999999996</v>
      </c>
      <c r="D72" s="174"/>
      <c r="E72" s="174"/>
    </row>
    <row r="73" spans="1:5">
      <c r="A73" s="150" t="s">
        <v>1238</v>
      </c>
      <c r="B73" s="170">
        <v>24.7</v>
      </c>
      <c r="C73" s="170">
        <v>35.299999999999997</v>
      </c>
      <c r="D73" s="174"/>
      <c r="E73" s="174"/>
    </row>
    <row r="74" spans="1:5">
      <c r="A74" s="165" t="s">
        <v>936</v>
      </c>
    </row>
    <row r="75" spans="1:5" ht="45" customHeight="1">
      <c r="A75" s="150" t="s">
        <v>430</v>
      </c>
      <c r="B75" s="168" t="s">
        <v>937</v>
      </c>
      <c r="C75" s="168" t="s">
        <v>939</v>
      </c>
      <c r="D75" s="168" t="s">
        <v>940</v>
      </c>
      <c r="E75" s="168" t="s">
        <v>941</v>
      </c>
    </row>
    <row r="76" spans="1:5">
      <c r="A76" s="150" t="s">
        <v>108</v>
      </c>
      <c r="B76" s="151">
        <v>8740</v>
      </c>
      <c r="C76" s="151">
        <v>1020</v>
      </c>
      <c r="D76" s="151">
        <v>8760</v>
      </c>
      <c r="E76" s="151">
        <v>1050</v>
      </c>
    </row>
    <row r="77" spans="1:5" ht="25.5">
      <c r="A77" s="150" t="s">
        <v>109</v>
      </c>
      <c r="B77" s="150">
        <v>1.66</v>
      </c>
      <c r="C77" s="150">
        <v>10</v>
      </c>
      <c r="D77" s="150">
        <v>1.25</v>
      </c>
      <c r="E77" s="150">
        <v>9.6199999999999992</v>
      </c>
    </row>
    <row r="78" spans="1:5" ht="25.5">
      <c r="A78" s="150" t="s">
        <v>1188</v>
      </c>
      <c r="B78" s="151">
        <v>-52200</v>
      </c>
      <c r="C78" s="151">
        <v>14600</v>
      </c>
      <c r="D78" s="151">
        <v>-51600</v>
      </c>
      <c r="E78" s="151">
        <v>15100</v>
      </c>
    </row>
    <row r="79" spans="1:5" ht="25.5">
      <c r="A79" s="150" t="s">
        <v>1189</v>
      </c>
      <c r="B79" s="151">
        <v>-5830</v>
      </c>
      <c r="C79" s="151">
        <v>2570</v>
      </c>
      <c r="D79" s="151">
        <v>-3530</v>
      </c>
      <c r="E79" s="151">
        <v>4870</v>
      </c>
    </row>
    <row r="80" spans="1:5">
      <c r="A80" s="150" t="s">
        <v>107</v>
      </c>
      <c r="B80" s="151">
        <v>142</v>
      </c>
      <c r="C80" s="151">
        <v>120</v>
      </c>
      <c r="D80" s="151">
        <v>90</v>
      </c>
      <c r="E80" s="151">
        <v>69</v>
      </c>
    </row>
    <row r="81" spans="1:29">
      <c r="A81" s="150" t="s">
        <v>1187</v>
      </c>
      <c r="B81" s="150">
        <v>1.1399999999999999</v>
      </c>
      <c r="C81" s="150">
        <v>1.1299999999999999</v>
      </c>
      <c r="D81" s="150">
        <v>1.01</v>
      </c>
      <c r="E81" s="150">
        <v>0.98799999999999999</v>
      </c>
    </row>
    <row r="82" spans="1:29">
      <c r="A82" s="150" t="s">
        <v>1234</v>
      </c>
      <c r="B82" s="151">
        <v>4110</v>
      </c>
      <c r="C82" s="151">
        <v>828</v>
      </c>
      <c r="D82" s="151">
        <v>4050</v>
      </c>
      <c r="E82" s="151">
        <v>763</v>
      </c>
    </row>
    <row r="83" spans="1:29" ht="38.25">
      <c r="A83" s="150" t="s">
        <v>1124</v>
      </c>
      <c r="B83" s="151">
        <v>-269</v>
      </c>
      <c r="C83" s="151">
        <v>494</v>
      </c>
      <c r="D83" s="151">
        <v>-202</v>
      </c>
      <c r="E83" s="151">
        <v>5.61</v>
      </c>
    </row>
    <row r="84" spans="1:29">
      <c r="A84" s="150" t="s">
        <v>1125</v>
      </c>
      <c r="B84" s="151">
        <v>-105</v>
      </c>
      <c r="C84" s="151">
        <v>388</v>
      </c>
      <c r="D84" s="151">
        <v>-88.3</v>
      </c>
      <c r="E84" s="151">
        <v>404</v>
      </c>
    </row>
    <row r="85" spans="1:29">
      <c r="A85" s="150" t="s">
        <v>1237</v>
      </c>
      <c r="B85" s="151">
        <v>-4960</v>
      </c>
      <c r="C85" s="151">
        <v>869</v>
      </c>
      <c r="D85" s="151">
        <v>-4970</v>
      </c>
      <c r="E85" s="151">
        <v>854</v>
      </c>
    </row>
    <row r="86" spans="1:29">
      <c r="A86" s="150" t="s">
        <v>1238</v>
      </c>
      <c r="B86" s="151">
        <v>4940</v>
      </c>
      <c r="C86" s="151">
        <v>7070</v>
      </c>
      <c r="D86" s="151">
        <v>10600</v>
      </c>
      <c r="E86" s="151">
        <v>12700</v>
      </c>
    </row>
    <row r="87" spans="1:29">
      <c r="A87" s="142" t="s">
        <v>646</v>
      </c>
      <c r="B87" s="143">
        <f>SUM(B76:B86)</f>
        <v>-45429.2</v>
      </c>
      <c r="C87" s="143">
        <f>SUM(C76:C86)</f>
        <v>27970.13</v>
      </c>
      <c r="D87" s="143">
        <f>SUM(D76:D86)</f>
        <v>-36888.04</v>
      </c>
      <c r="E87" s="143">
        <f>SUM(E76:E86)</f>
        <v>35826.218000000001</v>
      </c>
    </row>
    <row r="88" spans="1:29" ht="25.5">
      <c r="A88" s="150" t="s">
        <v>52</v>
      </c>
      <c r="B88" s="167">
        <v>-45400</v>
      </c>
      <c r="C88" s="151">
        <v>28000</v>
      </c>
      <c r="D88" s="167">
        <v>-37000</v>
      </c>
      <c r="E88" s="151">
        <v>3</v>
      </c>
    </row>
    <row r="89" spans="1:29">
      <c r="A89" s="165" t="s">
        <v>1004</v>
      </c>
    </row>
    <row r="90" spans="1:29" ht="38.25">
      <c r="A90" s="150" t="s">
        <v>1218</v>
      </c>
      <c r="B90" s="168" t="s">
        <v>944</v>
      </c>
      <c r="C90" s="168" t="s">
        <v>1058</v>
      </c>
      <c r="D90" s="168" t="s">
        <v>1059</v>
      </c>
      <c r="E90" s="168" t="s">
        <v>1060</v>
      </c>
      <c r="F90" s="168" t="s">
        <v>1062</v>
      </c>
      <c r="G90" s="168" t="s">
        <v>1221</v>
      </c>
      <c r="W90" s="150" t="s">
        <v>1218</v>
      </c>
      <c r="X90" s="168" t="s">
        <v>944</v>
      </c>
      <c r="Y90" s="168" t="s">
        <v>1058</v>
      </c>
      <c r="Z90" s="168" t="s">
        <v>1059</v>
      </c>
      <c r="AA90" s="168" t="s">
        <v>1060</v>
      </c>
      <c r="AB90" s="168" t="s">
        <v>1062</v>
      </c>
      <c r="AC90" s="168"/>
    </row>
    <row r="91" spans="1:29" ht="25.5">
      <c r="A91" s="150" t="s">
        <v>78</v>
      </c>
      <c r="B91" s="151">
        <v>1000</v>
      </c>
      <c r="C91" s="151">
        <v>1000</v>
      </c>
      <c r="D91" s="151">
        <v>1000</v>
      </c>
      <c r="E91" s="151">
        <v>1000</v>
      </c>
      <c r="F91" s="151">
        <v>1000</v>
      </c>
      <c r="G91" s="151">
        <v>1000</v>
      </c>
      <c r="W91" s="150" t="s">
        <v>78</v>
      </c>
      <c r="X91" s="170">
        <f>((B91/124000)*100)</f>
        <v>0.80645161290322576</v>
      </c>
      <c r="Y91" s="170">
        <f t="shared" ref="Y91:AB99" si="2">((C91/124000)*100)</f>
        <v>0.80645161290322576</v>
      </c>
      <c r="Z91" s="170">
        <f t="shared" si="2"/>
        <v>0.80645161290322576</v>
      </c>
      <c r="AA91" s="170">
        <f t="shared" si="2"/>
        <v>0.80645161290322576</v>
      </c>
      <c r="AB91" s="170">
        <f t="shared" si="2"/>
        <v>0.80645161290322576</v>
      </c>
      <c r="AC91" s="151"/>
    </row>
    <row r="92" spans="1:29" ht="25.5">
      <c r="A92" s="150" t="s">
        <v>79</v>
      </c>
      <c r="B92" s="151">
        <v>923</v>
      </c>
      <c r="C92" s="151">
        <v>923</v>
      </c>
      <c r="D92" s="151">
        <v>923</v>
      </c>
      <c r="E92" s="151">
        <v>923</v>
      </c>
      <c r="F92" s="151">
        <v>923</v>
      </c>
      <c r="G92" s="151">
        <v>923</v>
      </c>
      <c r="W92" s="150" t="s">
        <v>79</v>
      </c>
      <c r="X92" s="170">
        <f t="shared" ref="X92:X99" si="3">((B92/124000)*100)</f>
        <v>0.74435483870967745</v>
      </c>
      <c r="Y92" s="170">
        <f t="shared" si="2"/>
        <v>0.74435483870967745</v>
      </c>
      <c r="Z92" s="170">
        <f t="shared" si="2"/>
        <v>0.74435483870967745</v>
      </c>
      <c r="AA92" s="170">
        <f t="shared" si="2"/>
        <v>0.74435483870967745</v>
      </c>
      <c r="AB92" s="170">
        <f t="shared" si="2"/>
        <v>0.74435483870967745</v>
      </c>
      <c r="AC92" s="151"/>
    </row>
    <row r="93" spans="1:29" ht="25.5">
      <c r="A93" s="162" t="s">
        <v>86</v>
      </c>
      <c r="B93" s="151">
        <v>5820</v>
      </c>
      <c r="C93" s="151">
        <v>3815</v>
      </c>
      <c r="D93" s="151">
        <v>4768</v>
      </c>
      <c r="E93" s="151">
        <v>3605</v>
      </c>
      <c r="F93" s="151">
        <v>10290</v>
      </c>
      <c r="G93" s="151">
        <v>4402</v>
      </c>
      <c r="W93" s="162" t="s">
        <v>86</v>
      </c>
      <c r="X93" s="170">
        <f t="shared" si="3"/>
        <v>4.693548387096774</v>
      </c>
      <c r="Y93" s="170">
        <f t="shared" si="2"/>
        <v>3.0766129032258065</v>
      </c>
      <c r="Z93" s="170">
        <f t="shared" si="2"/>
        <v>3.8451612903225811</v>
      </c>
      <c r="AA93" s="170">
        <f t="shared" si="2"/>
        <v>2.907258064516129</v>
      </c>
      <c r="AB93" s="170">
        <f t="shared" si="2"/>
        <v>8.2983870967741922</v>
      </c>
      <c r="AC93" s="151"/>
    </row>
    <row r="94" spans="1:29" ht="25.5">
      <c r="A94" s="150" t="s">
        <v>11</v>
      </c>
      <c r="B94" s="151">
        <v>3095</v>
      </c>
      <c r="C94" s="151">
        <v>6400</v>
      </c>
      <c r="D94" s="151">
        <v>2243</v>
      </c>
      <c r="E94" s="151">
        <v>5600</v>
      </c>
      <c r="F94" s="151">
        <v>9796</v>
      </c>
      <c r="G94" s="151">
        <v>0</v>
      </c>
      <c r="W94" s="150" t="s">
        <v>11</v>
      </c>
      <c r="X94" s="170">
        <f t="shared" si="3"/>
        <v>2.495967741935484</v>
      </c>
      <c r="Y94" s="170">
        <f t="shared" si="2"/>
        <v>5.161290322580645</v>
      </c>
      <c r="Z94" s="170">
        <f t="shared" si="2"/>
        <v>1.8088709677419355</v>
      </c>
      <c r="AA94" s="170">
        <f t="shared" si="2"/>
        <v>4.5161290322580641</v>
      </c>
      <c r="AB94" s="170">
        <f t="shared" si="2"/>
        <v>7.9</v>
      </c>
      <c r="AC94" s="151"/>
    </row>
    <row r="95" spans="1:29">
      <c r="A95" s="150" t="s">
        <v>87</v>
      </c>
      <c r="B95" s="151">
        <v>3234</v>
      </c>
      <c r="C95" s="151">
        <v>3234</v>
      </c>
      <c r="D95" s="151">
        <v>3234</v>
      </c>
      <c r="E95" s="151">
        <v>3234</v>
      </c>
      <c r="F95" s="151">
        <v>3234</v>
      </c>
      <c r="G95" s="151">
        <v>3234</v>
      </c>
      <c r="W95" s="150" t="s">
        <v>87</v>
      </c>
      <c r="X95" s="170">
        <f t="shared" si="3"/>
        <v>2.6080645161290321</v>
      </c>
      <c r="Y95" s="170">
        <f t="shared" si="2"/>
        <v>2.6080645161290321</v>
      </c>
      <c r="Z95" s="170">
        <f t="shared" si="2"/>
        <v>2.6080645161290321</v>
      </c>
      <c r="AA95" s="170">
        <f t="shared" si="2"/>
        <v>2.6080645161290321</v>
      </c>
      <c r="AB95" s="170">
        <f t="shared" si="2"/>
        <v>2.6080645161290321</v>
      </c>
      <c r="AC95" s="151"/>
    </row>
    <row r="96" spans="1:29">
      <c r="A96" s="150" t="s">
        <v>88</v>
      </c>
      <c r="B96" s="151">
        <v>4550</v>
      </c>
      <c r="C96" s="151">
        <v>3570</v>
      </c>
      <c r="D96" s="151">
        <v>10600</v>
      </c>
      <c r="E96" s="151">
        <v>10600</v>
      </c>
      <c r="F96" s="151">
        <v>21700</v>
      </c>
      <c r="G96" s="151">
        <v>17500</v>
      </c>
      <c r="W96" s="150" t="s">
        <v>88</v>
      </c>
      <c r="X96" s="170">
        <f t="shared" si="3"/>
        <v>3.669354838709677</v>
      </c>
      <c r="Y96" s="170">
        <f t="shared" si="2"/>
        <v>2.879032258064516</v>
      </c>
      <c r="Z96" s="170">
        <f t="shared" si="2"/>
        <v>8.5483870967741939</v>
      </c>
      <c r="AA96" s="170">
        <f t="shared" si="2"/>
        <v>8.5483870967741939</v>
      </c>
      <c r="AB96" s="170">
        <f t="shared" si="2"/>
        <v>17.5</v>
      </c>
      <c r="AC96" s="151"/>
    </row>
    <row r="97" spans="1:29" ht="25.5">
      <c r="A97" s="150" t="s">
        <v>89</v>
      </c>
      <c r="B97" s="151">
        <v>3757</v>
      </c>
      <c r="C97" s="151">
        <v>3757</v>
      </c>
      <c r="D97" s="151">
        <v>3757</v>
      </c>
      <c r="E97" s="151">
        <v>3757</v>
      </c>
      <c r="F97" s="151">
        <v>3757</v>
      </c>
      <c r="G97" s="151">
        <v>3757</v>
      </c>
      <c r="W97" s="150" t="s">
        <v>89</v>
      </c>
      <c r="X97" s="170">
        <f t="shared" si="3"/>
        <v>3.0298387096774193</v>
      </c>
      <c r="Y97" s="170">
        <f t="shared" si="2"/>
        <v>3.0298387096774193</v>
      </c>
      <c r="Z97" s="170">
        <f t="shared" si="2"/>
        <v>3.0298387096774193</v>
      </c>
      <c r="AA97" s="170">
        <f t="shared" si="2"/>
        <v>3.0298387096774193</v>
      </c>
      <c r="AB97" s="170">
        <f t="shared" si="2"/>
        <v>3.0298387096774193</v>
      </c>
      <c r="AC97" s="151"/>
    </row>
    <row r="98" spans="1:29">
      <c r="A98" s="150" t="s">
        <v>1182</v>
      </c>
      <c r="B98" s="151">
        <v>5252</v>
      </c>
      <c r="C98" s="151">
        <v>5252</v>
      </c>
      <c r="D98" s="151">
        <v>5252</v>
      </c>
      <c r="E98" s="151">
        <v>5252</v>
      </c>
      <c r="F98" s="151">
        <v>5252</v>
      </c>
      <c r="G98" s="151">
        <v>5252</v>
      </c>
      <c r="W98" s="150" t="s">
        <v>1182</v>
      </c>
      <c r="X98" s="170">
        <f t="shared" si="3"/>
        <v>4.2354838709677418</v>
      </c>
      <c r="Y98" s="170">
        <f t="shared" si="2"/>
        <v>4.2354838709677418</v>
      </c>
      <c r="Z98" s="170">
        <f t="shared" si="2"/>
        <v>4.2354838709677418</v>
      </c>
      <c r="AA98" s="170">
        <f t="shared" si="2"/>
        <v>4.2354838709677418</v>
      </c>
      <c r="AB98" s="170">
        <f t="shared" si="2"/>
        <v>4.2354838709677418</v>
      </c>
      <c r="AC98" s="151"/>
    </row>
    <row r="99" spans="1:29">
      <c r="A99" s="150" t="s">
        <v>1224</v>
      </c>
      <c r="B99" s="151">
        <v>320.7</v>
      </c>
      <c r="C99" s="151">
        <v>320.7</v>
      </c>
      <c r="D99" s="151">
        <v>320.7</v>
      </c>
      <c r="E99" s="151">
        <v>320.7</v>
      </c>
      <c r="F99" s="151">
        <v>320.7</v>
      </c>
      <c r="G99" s="151">
        <v>320.7</v>
      </c>
      <c r="W99" s="150" t="s">
        <v>1224</v>
      </c>
      <c r="X99" s="170">
        <f t="shared" si="3"/>
        <v>0.2586290322580645</v>
      </c>
      <c r="Y99" s="170">
        <f t="shared" si="2"/>
        <v>0.2586290322580645</v>
      </c>
      <c r="Z99" s="170">
        <f t="shared" si="2"/>
        <v>0.2586290322580645</v>
      </c>
      <c r="AA99" s="170">
        <f t="shared" si="2"/>
        <v>0.2586290322580645</v>
      </c>
      <c r="AB99" s="170">
        <f t="shared" si="2"/>
        <v>0.2586290322580645</v>
      </c>
      <c r="AC99" s="151"/>
    </row>
    <row r="100" spans="1:29">
      <c r="A100" s="142" t="s">
        <v>646</v>
      </c>
      <c r="B100" s="143">
        <f t="shared" ref="B100:G100" si="4">SUM(B91:B99)</f>
        <v>27951.7</v>
      </c>
      <c r="C100" s="143">
        <f t="shared" si="4"/>
        <v>28271.7</v>
      </c>
      <c r="D100" s="143">
        <f t="shared" si="4"/>
        <v>32097.7</v>
      </c>
      <c r="E100" s="143">
        <f t="shared" si="4"/>
        <v>34291.699999999997</v>
      </c>
      <c r="F100" s="143">
        <f t="shared" si="4"/>
        <v>56272.7</v>
      </c>
      <c r="G100" s="143">
        <f t="shared" si="4"/>
        <v>36388.699999999997</v>
      </c>
      <c r="W100" s="142" t="s">
        <v>646</v>
      </c>
      <c r="X100" s="285">
        <f>SUM(X91:X99)</f>
        <v>22.541693548387094</v>
      </c>
      <c r="Y100" s="285">
        <f>SUM(Y91:Y99)</f>
        <v>22.799758064516126</v>
      </c>
      <c r="Z100" s="285">
        <f>SUM(Z91:Z99)</f>
        <v>25.885241935483869</v>
      </c>
      <c r="AA100" s="285">
        <f>SUM(AA91:AA99)</f>
        <v>27.654596774193546</v>
      </c>
      <c r="AB100" s="285">
        <f>SUM(AB91:AB99)</f>
        <v>45.381209677419356</v>
      </c>
      <c r="AC100" s="143"/>
    </row>
    <row r="101" spans="1:29" ht="25.5">
      <c r="A101" s="150" t="s">
        <v>52</v>
      </c>
      <c r="B101" s="167">
        <v>2800</v>
      </c>
      <c r="C101" s="151">
        <v>28300</v>
      </c>
      <c r="D101" s="167">
        <v>32100</v>
      </c>
      <c r="E101" s="167">
        <v>34300</v>
      </c>
      <c r="F101" s="167">
        <v>56300</v>
      </c>
      <c r="G101" s="167">
        <v>36400</v>
      </c>
      <c r="W101" s="150" t="s">
        <v>52</v>
      </c>
      <c r="X101" s="167">
        <v>2800</v>
      </c>
      <c r="Y101" s="151">
        <v>28300</v>
      </c>
      <c r="Z101" s="167">
        <v>32100</v>
      </c>
      <c r="AA101" s="167">
        <v>34300</v>
      </c>
      <c r="AB101" s="167">
        <v>56300</v>
      </c>
      <c r="AC101" s="167"/>
    </row>
    <row r="102" spans="1:29">
      <c r="A102" s="165" t="s">
        <v>1005</v>
      </c>
    </row>
    <row r="103" spans="1:29" ht="38.25">
      <c r="A103" s="150" t="s">
        <v>430</v>
      </c>
      <c r="B103" s="168" t="s">
        <v>944</v>
      </c>
      <c r="C103" s="168" t="s">
        <v>1058</v>
      </c>
      <c r="D103" s="168" t="s">
        <v>1059</v>
      </c>
      <c r="E103" s="168" t="s">
        <v>1060</v>
      </c>
      <c r="F103" s="168" t="s">
        <v>1061</v>
      </c>
      <c r="G103" s="168" t="s">
        <v>1221</v>
      </c>
    </row>
    <row r="104" spans="1:29">
      <c r="A104" s="150" t="s">
        <v>108</v>
      </c>
      <c r="B104" s="170">
        <v>2.56</v>
      </c>
      <c r="C104" s="170">
        <v>2.14</v>
      </c>
      <c r="D104" s="170">
        <v>3.45</v>
      </c>
      <c r="E104" s="170">
        <v>3.47</v>
      </c>
      <c r="F104" s="170">
        <v>5.23</v>
      </c>
      <c r="G104" s="170">
        <v>2.62</v>
      </c>
    </row>
    <row r="105" spans="1:29" ht="25.5">
      <c r="A105" s="150" t="s">
        <v>109</v>
      </c>
      <c r="B105" s="170">
        <v>2.5100000000000001E-2</v>
      </c>
      <c r="C105" s="170">
        <v>1.43E-2</v>
      </c>
      <c r="D105" s="170">
        <v>2.7900000000000001E-2</v>
      </c>
      <c r="E105" s="170">
        <v>2.8899999999999999E-2</v>
      </c>
      <c r="F105" s="170">
        <v>4.8800000000000003E-2</v>
      </c>
      <c r="G105" s="170">
        <v>2.41E-2</v>
      </c>
    </row>
    <row r="106" spans="1:29" ht="25.5">
      <c r="A106" s="150" t="s">
        <v>1188</v>
      </c>
      <c r="B106" s="170">
        <v>36.5</v>
      </c>
      <c r="C106" s="170">
        <v>36.6</v>
      </c>
      <c r="D106" s="170">
        <v>34.799999999999997</v>
      </c>
      <c r="E106" s="170">
        <v>38.9</v>
      </c>
      <c r="F106" s="170">
        <v>68.099999999999994</v>
      </c>
      <c r="G106" s="170">
        <v>37.9</v>
      </c>
    </row>
    <row r="107" spans="1:29" ht="25.5">
      <c r="A107" s="150" t="s">
        <v>1189</v>
      </c>
      <c r="B107" s="170">
        <v>6.42</v>
      </c>
      <c r="C107" s="170">
        <v>6.55</v>
      </c>
      <c r="D107" s="170">
        <v>13.2</v>
      </c>
      <c r="E107" s="170">
        <v>13.4</v>
      </c>
      <c r="F107" s="170">
        <v>16.899999999999999</v>
      </c>
      <c r="G107" s="170">
        <v>12.2</v>
      </c>
    </row>
    <row r="108" spans="1:29">
      <c r="A108" s="150" t="s">
        <v>107</v>
      </c>
      <c r="B108" s="170">
        <v>0.30099999999999999</v>
      </c>
      <c r="C108" s="170">
        <v>0.59899999999999998</v>
      </c>
      <c r="D108" s="170">
        <v>0.14599999999999999</v>
      </c>
      <c r="E108" s="170">
        <v>0.14699999999999999</v>
      </c>
      <c r="F108" s="170">
        <v>7.8E-2</v>
      </c>
      <c r="G108" s="170">
        <v>0.17199999999999999</v>
      </c>
    </row>
    <row r="109" spans="1:29">
      <c r="A109" s="150" t="s">
        <v>1187</v>
      </c>
      <c r="B109" s="170">
        <v>2.8300000000000001E-3</v>
      </c>
      <c r="C109" s="170">
        <v>2.3E-3</v>
      </c>
      <c r="D109" s="170">
        <v>3.4499999999999999E-3</v>
      </c>
      <c r="E109" s="170">
        <v>3.5100000000000001E-3</v>
      </c>
      <c r="F109" s="170">
        <v>4.6899999999999997E-3</v>
      </c>
      <c r="G109" s="170">
        <v>2.49E-3</v>
      </c>
    </row>
    <row r="110" spans="1:29">
      <c r="A110" s="150" t="s">
        <v>1234</v>
      </c>
      <c r="B110" s="170">
        <v>2.0699999999999998</v>
      </c>
      <c r="C110" s="170">
        <v>2.09</v>
      </c>
      <c r="D110" s="170">
        <v>1.95</v>
      </c>
      <c r="E110" s="170">
        <v>2.04</v>
      </c>
      <c r="F110" s="170">
        <v>2.6</v>
      </c>
      <c r="G110" s="170">
        <v>2.97</v>
      </c>
    </row>
    <row r="111" spans="1:29" ht="26.25" customHeight="1">
      <c r="A111" s="150" t="s">
        <v>1124</v>
      </c>
      <c r="B111" s="170">
        <v>1.23</v>
      </c>
      <c r="C111" s="170">
        <v>1.43</v>
      </c>
      <c r="D111" s="170">
        <v>1.31</v>
      </c>
      <c r="E111" s="170">
        <v>1.54</v>
      </c>
      <c r="F111" s="170">
        <v>3.2</v>
      </c>
      <c r="G111" s="170">
        <v>1.4</v>
      </c>
    </row>
    <row r="112" spans="1:29">
      <c r="A112" s="150" t="s">
        <v>1125</v>
      </c>
      <c r="B112" s="170">
        <v>0.96899999999999997</v>
      </c>
      <c r="C112" s="170">
        <v>0.81899999999999995</v>
      </c>
      <c r="D112" s="170">
        <v>1</v>
      </c>
      <c r="E112" s="170">
        <v>1.02</v>
      </c>
      <c r="F112" s="170">
        <v>1.48</v>
      </c>
      <c r="G112" s="170">
        <v>1.01</v>
      </c>
    </row>
    <row r="113" spans="1:7">
      <c r="A113" s="150" t="s">
        <v>1237</v>
      </c>
      <c r="B113" s="170">
        <v>4.3499999999999996</v>
      </c>
      <c r="C113" s="170">
        <v>4.34</v>
      </c>
      <c r="D113" s="170">
        <v>4.32</v>
      </c>
      <c r="E113" s="170">
        <v>4.3099999999999996</v>
      </c>
      <c r="F113" s="170">
        <v>4.5</v>
      </c>
      <c r="G113" s="170">
        <v>4.2699999999999996</v>
      </c>
    </row>
    <row r="114" spans="1:7">
      <c r="A114" s="150" t="s">
        <v>1238</v>
      </c>
      <c r="B114" s="170">
        <v>35.299999999999997</v>
      </c>
      <c r="C114" s="170">
        <v>36.4</v>
      </c>
      <c r="D114" s="170">
        <v>44.3</v>
      </c>
      <c r="E114" s="170">
        <v>46.1</v>
      </c>
      <c r="F114" s="170">
        <v>81.8</v>
      </c>
      <c r="G114" s="170">
        <v>63.4</v>
      </c>
    </row>
    <row r="115" spans="1:7">
      <c r="A115" s="165" t="s">
        <v>1006</v>
      </c>
    </row>
    <row r="116" spans="1:7" ht="38.25">
      <c r="A116" s="150" t="s">
        <v>430</v>
      </c>
      <c r="B116" s="168" t="s">
        <v>944</v>
      </c>
      <c r="C116" s="168" t="s">
        <v>1058</v>
      </c>
      <c r="D116" s="168" t="s">
        <v>1059</v>
      </c>
      <c r="E116" s="168" t="s">
        <v>1060</v>
      </c>
      <c r="F116" s="168" t="s">
        <v>1061</v>
      </c>
      <c r="G116" s="168" t="s">
        <v>1221</v>
      </c>
    </row>
    <row r="117" spans="1:7">
      <c r="A117" s="150" t="s">
        <v>108</v>
      </c>
      <c r="B117" s="151">
        <v>1020</v>
      </c>
      <c r="C117" s="151">
        <v>855</v>
      </c>
      <c r="D117" s="151">
        <v>1380</v>
      </c>
      <c r="E117" s="151">
        <v>1390</v>
      </c>
      <c r="F117" s="151">
        <v>2090</v>
      </c>
      <c r="G117" s="151">
        <v>1050</v>
      </c>
    </row>
    <row r="118" spans="1:7" ht="25.5">
      <c r="A118" s="150" t="s">
        <v>109</v>
      </c>
      <c r="B118" s="150">
        <v>10</v>
      </c>
      <c r="C118" s="150">
        <v>9.7100000000000009</v>
      </c>
      <c r="D118" s="150">
        <v>11.2</v>
      </c>
      <c r="E118" s="150">
        <v>11.6</v>
      </c>
      <c r="F118" s="150">
        <v>19.5</v>
      </c>
      <c r="G118" s="150">
        <v>9.6199999999999992</v>
      </c>
    </row>
    <row r="119" spans="1:7" ht="25.5">
      <c r="A119" s="150" t="s">
        <v>1188</v>
      </c>
      <c r="B119" s="151">
        <v>14600</v>
      </c>
      <c r="C119" s="151">
        <v>14700</v>
      </c>
      <c r="D119" s="151">
        <v>13900</v>
      </c>
      <c r="E119" s="151">
        <v>15600</v>
      </c>
      <c r="F119" s="151">
        <v>27200</v>
      </c>
      <c r="G119" s="151">
        <v>15100</v>
      </c>
    </row>
    <row r="120" spans="1:7" ht="25.5">
      <c r="A120" s="150" t="s">
        <v>1189</v>
      </c>
      <c r="B120" s="151">
        <v>2570</v>
      </c>
      <c r="C120" s="151">
        <v>2620</v>
      </c>
      <c r="D120" s="151">
        <v>5290</v>
      </c>
      <c r="E120" s="151">
        <v>5380</v>
      </c>
      <c r="F120" s="151">
        <v>6750</v>
      </c>
      <c r="G120" s="151">
        <v>4870</v>
      </c>
    </row>
    <row r="121" spans="1:7">
      <c r="A121" s="150" t="s">
        <v>107</v>
      </c>
      <c r="B121" s="151">
        <v>120</v>
      </c>
      <c r="C121" s="151">
        <v>240</v>
      </c>
      <c r="D121" s="151">
        <v>58.2</v>
      </c>
      <c r="E121" s="151">
        <v>58.8</v>
      </c>
      <c r="F121" s="151">
        <v>31.2</v>
      </c>
      <c r="G121" s="151">
        <v>69</v>
      </c>
    </row>
    <row r="122" spans="1:7">
      <c r="A122" s="150" t="s">
        <v>1187</v>
      </c>
      <c r="B122" s="150">
        <v>1.1299999999999999</v>
      </c>
      <c r="C122" s="150">
        <v>0.92200000000000004</v>
      </c>
      <c r="D122" s="150">
        <v>1.38</v>
      </c>
      <c r="E122" s="150">
        <v>1.4</v>
      </c>
      <c r="F122" s="150">
        <v>1.87</v>
      </c>
      <c r="G122" s="150">
        <v>0.98799999999999999</v>
      </c>
    </row>
    <row r="123" spans="1:7">
      <c r="A123" s="150" t="s">
        <v>1234</v>
      </c>
      <c r="B123" s="151">
        <v>828</v>
      </c>
      <c r="C123" s="151">
        <v>836</v>
      </c>
      <c r="D123" s="151">
        <v>781</v>
      </c>
      <c r="E123" s="151">
        <v>818</v>
      </c>
      <c r="F123" s="151">
        <v>1040</v>
      </c>
      <c r="G123" s="151">
        <v>763</v>
      </c>
    </row>
    <row r="124" spans="1:7" ht="38.25">
      <c r="A124" s="150" t="s">
        <v>1124</v>
      </c>
      <c r="B124" s="151">
        <v>494</v>
      </c>
      <c r="C124" s="151">
        <v>574</v>
      </c>
      <c r="D124" s="151">
        <v>524</v>
      </c>
      <c r="E124" s="151">
        <v>617</v>
      </c>
      <c r="F124" s="151">
        <v>1280</v>
      </c>
      <c r="G124" s="151">
        <v>561</v>
      </c>
    </row>
    <row r="125" spans="1:7">
      <c r="A125" s="150" t="s">
        <v>1125</v>
      </c>
      <c r="B125" s="151">
        <v>388</v>
      </c>
      <c r="C125" s="151">
        <v>328</v>
      </c>
      <c r="D125" s="151">
        <v>401</v>
      </c>
      <c r="E125" s="151">
        <v>406</v>
      </c>
      <c r="F125" s="151">
        <v>591</v>
      </c>
      <c r="G125" s="151">
        <v>404</v>
      </c>
    </row>
    <row r="126" spans="1:7">
      <c r="A126" s="150" t="s">
        <v>1237</v>
      </c>
      <c r="B126" s="151">
        <v>869</v>
      </c>
      <c r="C126" s="151">
        <v>868</v>
      </c>
      <c r="D126" s="151">
        <v>865</v>
      </c>
      <c r="E126" s="151">
        <v>862</v>
      </c>
      <c r="F126" s="151">
        <v>900</v>
      </c>
      <c r="G126" s="151">
        <v>854</v>
      </c>
    </row>
    <row r="127" spans="1:7">
      <c r="A127" s="150" t="s">
        <v>1238</v>
      </c>
      <c r="B127" s="151">
        <v>7070</v>
      </c>
      <c r="C127" s="151">
        <v>7280</v>
      </c>
      <c r="D127" s="151">
        <v>8870</v>
      </c>
      <c r="E127" s="151">
        <v>9210</v>
      </c>
      <c r="F127" s="151">
        <v>16400</v>
      </c>
      <c r="G127" s="151">
        <v>12700</v>
      </c>
    </row>
    <row r="128" spans="1:7">
      <c r="A128" s="142" t="s">
        <v>646</v>
      </c>
      <c r="B128" s="143">
        <f t="shared" ref="B128:G128" si="5">SUM(B117:B127)</f>
        <v>27970.13</v>
      </c>
      <c r="C128" s="143">
        <f t="shared" si="5"/>
        <v>28311.631999999998</v>
      </c>
      <c r="D128" s="143">
        <f t="shared" si="5"/>
        <v>32081.780000000002</v>
      </c>
      <c r="E128" s="143">
        <f t="shared" si="5"/>
        <v>34354.800000000003</v>
      </c>
      <c r="F128" s="143">
        <f t="shared" si="5"/>
        <v>56303.57</v>
      </c>
      <c r="G128" s="143">
        <f t="shared" si="5"/>
        <v>36381.608</v>
      </c>
    </row>
    <row r="129" spans="1:7" ht="25.5">
      <c r="A129" s="150" t="s">
        <v>52</v>
      </c>
      <c r="B129" s="167">
        <v>28000</v>
      </c>
      <c r="C129" s="151">
        <v>28300</v>
      </c>
      <c r="D129" s="167">
        <v>32100</v>
      </c>
      <c r="E129" s="167">
        <v>34300</v>
      </c>
      <c r="F129" s="167">
        <v>56300</v>
      </c>
      <c r="G129" s="167">
        <v>36400</v>
      </c>
    </row>
    <row r="130" spans="1:7">
      <c r="A130" s="165" t="s">
        <v>943</v>
      </c>
    </row>
    <row r="131" spans="1:7" ht="36" customHeight="1">
      <c r="A131" s="150" t="s">
        <v>1218</v>
      </c>
      <c r="B131" s="168" t="s">
        <v>944</v>
      </c>
      <c r="C131" s="168" t="s">
        <v>436</v>
      </c>
      <c r="E131" s="171"/>
    </row>
    <row r="132" spans="1:7">
      <c r="A132" s="150" t="s">
        <v>78</v>
      </c>
      <c r="B132" s="151">
        <v>1000</v>
      </c>
      <c r="C132" s="151">
        <v>1000</v>
      </c>
      <c r="E132" s="153"/>
    </row>
    <row r="133" spans="1:7" ht="25.5">
      <c r="A133" s="150" t="s">
        <v>79</v>
      </c>
      <c r="B133" s="151">
        <v>923</v>
      </c>
      <c r="C133" s="151">
        <v>923</v>
      </c>
      <c r="E133" s="153"/>
    </row>
    <row r="134" spans="1:7" ht="25.5">
      <c r="A134" s="162" t="s">
        <v>86</v>
      </c>
      <c r="B134" s="151">
        <v>5820</v>
      </c>
      <c r="C134" s="151">
        <v>4402</v>
      </c>
      <c r="E134" s="153"/>
    </row>
    <row r="135" spans="1:7">
      <c r="A135" s="150" t="s">
        <v>11</v>
      </c>
      <c r="B135" s="151">
        <v>3095</v>
      </c>
      <c r="C135" s="151">
        <v>0</v>
      </c>
      <c r="E135" s="153"/>
    </row>
    <row r="136" spans="1:7">
      <c r="A136" s="150" t="s">
        <v>87</v>
      </c>
      <c r="B136" s="151">
        <v>3234</v>
      </c>
      <c r="C136" s="151">
        <v>3234</v>
      </c>
      <c r="E136" s="153"/>
    </row>
    <row r="137" spans="1:7">
      <c r="A137" s="150" t="s">
        <v>88</v>
      </c>
      <c r="B137" s="151">
        <v>4550</v>
      </c>
      <c r="C137" s="151">
        <v>17500</v>
      </c>
      <c r="E137" s="153"/>
    </row>
    <row r="138" spans="1:7" ht="25.5">
      <c r="A138" s="150" t="s">
        <v>89</v>
      </c>
      <c r="B138" s="151">
        <v>3757</v>
      </c>
      <c r="C138" s="151">
        <v>3757</v>
      </c>
      <c r="E138" s="153"/>
    </row>
    <row r="139" spans="1:7" ht="25.5">
      <c r="A139" s="150" t="s">
        <v>90</v>
      </c>
      <c r="B139" s="151">
        <v>-73600</v>
      </c>
      <c r="C139" s="151">
        <v>-73600</v>
      </c>
      <c r="E139" s="153"/>
    </row>
    <row r="140" spans="1:7">
      <c r="A140" s="150" t="s">
        <v>1182</v>
      </c>
      <c r="B140" s="151">
        <v>5252</v>
      </c>
      <c r="C140" s="151">
        <v>5252</v>
      </c>
      <c r="E140" s="153"/>
    </row>
    <row r="141" spans="1:7">
      <c r="A141" s="150" t="s">
        <v>1224</v>
      </c>
      <c r="B141" s="151">
        <v>320.7</v>
      </c>
      <c r="C141" s="151">
        <v>320.7</v>
      </c>
      <c r="E141" s="153"/>
    </row>
    <row r="142" spans="1:7">
      <c r="A142" s="142" t="s">
        <v>646</v>
      </c>
      <c r="B142" s="143">
        <f>SUM(B132:B141)</f>
        <v>-45648.3</v>
      </c>
      <c r="C142" s="143">
        <f>SUM(C132:C141)</f>
        <v>-37211.300000000003</v>
      </c>
      <c r="E142" s="172"/>
    </row>
    <row r="143" spans="1:7" ht="25.5">
      <c r="A143" s="150" t="s">
        <v>52</v>
      </c>
      <c r="B143" s="167">
        <v>-45400</v>
      </c>
      <c r="C143" s="167">
        <v>-37000</v>
      </c>
      <c r="E143" s="153"/>
    </row>
    <row r="144" spans="1:7">
      <c r="A144" s="165" t="s">
        <v>942</v>
      </c>
    </row>
    <row r="145" spans="1:20" ht="25.5">
      <c r="A145" s="150" t="s">
        <v>1218</v>
      </c>
      <c r="B145" s="168" t="s">
        <v>944</v>
      </c>
      <c r="C145" s="168" t="s">
        <v>436</v>
      </c>
      <c r="D145" s="171"/>
      <c r="R145" s="150" t="s">
        <v>1218</v>
      </c>
      <c r="S145" s="168" t="s">
        <v>944</v>
      </c>
      <c r="T145" s="168" t="s">
        <v>436</v>
      </c>
    </row>
    <row r="146" spans="1:20" ht="25.5">
      <c r="A146" s="150" t="s">
        <v>78</v>
      </c>
      <c r="B146" s="151">
        <v>1000</v>
      </c>
      <c r="C146" s="151">
        <v>1000</v>
      </c>
      <c r="D146" s="153"/>
      <c r="R146" s="150" t="s">
        <v>78</v>
      </c>
      <c r="S146" s="151">
        <f>((B146/124000)*100)</f>
        <v>0.80645161290322576</v>
      </c>
      <c r="T146" s="151">
        <f>((C146/124000)*100)</f>
        <v>0.80645161290322576</v>
      </c>
    </row>
    <row r="147" spans="1:20" ht="25.5">
      <c r="A147" s="150" t="s">
        <v>79</v>
      </c>
      <c r="B147" s="151">
        <v>923</v>
      </c>
      <c r="C147" s="151">
        <v>923</v>
      </c>
      <c r="D147" s="153"/>
      <c r="R147" s="150" t="s">
        <v>79</v>
      </c>
      <c r="S147" s="151">
        <f t="shared" ref="S147:S154" si="6">((B147/124000)*100)</f>
        <v>0.74435483870967745</v>
      </c>
      <c r="T147" s="151">
        <f t="shared" ref="T147:T154" si="7">((C147/124000)*100)</f>
        <v>0.74435483870967745</v>
      </c>
    </row>
    <row r="148" spans="1:20" ht="25.5">
      <c r="A148" s="162" t="s">
        <v>86</v>
      </c>
      <c r="B148" s="151">
        <v>5820</v>
      </c>
      <c r="C148" s="151">
        <v>4402</v>
      </c>
      <c r="D148" s="153"/>
      <c r="R148" s="162" t="s">
        <v>86</v>
      </c>
      <c r="S148" s="151">
        <f t="shared" si="6"/>
        <v>4.693548387096774</v>
      </c>
      <c r="T148" s="151">
        <f t="shared" si="7"/>
        <v>3.55</v>
      </c>
    </row>
    <row r="149" spans="1:20" ht="25.5">
      <c r="A149" s="150" t="s">
        <v>11</v>
      </c>
      <c r="B149" s="151">
        <v>3095</v>
      </c>
      <c r="C149" s="151">
        <v>0</v>
      </c>
      <c r="D149" s="153"/>
      <c r="R149" s="150" t="s">
        <v>11</v>
      </c>
      <c r="S149" s="151">
        <f t="shared" si="6"/>
        <v>2.495967741935484</v>
      </c>
      <c r="T149" s="151">
        <f t="shared" si="7"/>
        <v>0</v>
      </c>
    </row>
    <row r="150" spans="1:20">
      <c r="A150" s="150" t="s">
        <v>87</v>
      </c>
      <c r="B150" s="151">
        <v>3234</v>
      </c>
      <c r="C150" s="151">
        <v>3234</v>
      </c>
      <c r="D150" s="153"/>
      <c r="R150" s="150" t="s">
        <v>87</v>
      </c>
      <c r="S150" s="151">
        <f t="shared" si="6"/>
        <v>2.6080645161290321</v>
      </c>
      <c r="T150" s="151">
        <f t="shared" si="7"/>
        <v>2.6080645161290321</v>
      </c>
    </row>
    <row r="151" spans="1:20">
      <c r="A151" s="150" t="s">
        <v>88</v>
      </c>
      <c r="B151" s="151">
        <v>4550</v>
      </c>
      <c r="C151" s="151">
        <v>17500</v>
      </c>
      <c r="D151" s="153"/>
      <c r="R151" s="150" t="s">
        <v>88</v>
      </c>
      <c r="S151" s="151">
        <f t="shared" si="6"/>
        <v>3.669354838709677</v>
      </c>
      <c r="T151" s="151">
        <f t="shared" si="7"/>
        <v>14.112903225806454</v>
      </c>
    </row>
    <row r="152" spans="1:20" ht="25.5">
      <c r="A152" s="150" t="s">
        <v>89</v>
      </c>
      <c r="B152" s="151">
        <v>3757</v>
      </c>
      <c r="C152" s="151">
        <v>3757</v>
      </c>
      <c r="D152" s="153"/>
      <c r="R152" s="150" t="s">
        <v>89</v>
      </c>
      <c r="S152" s="151">
        <f t="shared" si="6"/>
        <v>3.0298387096774193</v>
      </c>
      <c r="T152" s="151">
        <f t="shared" si="7"/>
        <v>3.0298387096774193</v>
      </c>
    </row>
    <row r="153" spans="1:20">
      <c r="A153" s="150" t="s">
        <v>1182</v>
      </c>
      <c r="B153" s="151">
        <v>5252</v>
      </c>
      <c r="C153" s="151">
        <v>5252</v>
      </c>
      <c r="D153" s="153"/>
      <c r="R153" s="150" t="s">
        <v>1182</v>
      </c>
      <c r="S153" s="151">
        <f t="shared" si="6"/>
        <v>4.2354838709677418</v>
      </c>
      <c r="T153" s="151">
        <f t="shared" si="7"/>
        <v>4.2354838709677418</v>
      </c>
    </row>
    <row r="154" spans="1:20">
      <c r="A154" s="150" t="s">
        <v>1224</v>
      </c>
      <c r="B154" s="151">
        <v>320.7</v>
      </c>
      <c r="C154" s="151">
        <v>320.7</v>
      </c>
      <c r="D154" s="153"/>
      <c r="R154" s="150" t="s">
        <v>1224</v>
      </c>
      <c r="S154" s="151">
        <f t="shared" si="6"/>
        <v>0.2586290322580645</v>
      </c>
      <c r="T154" s="151">
        <f t="shared" si="7"/>
        <v>0.2586290322580645</v>
      </c>
    </row>
    <row r="155" spans="1:20">
      <c r="A155" s="142" t="s">
        <v>646</v>
      </c>
      <c r="B155" s="143">
        <f>SUM(B146:B154)</f>
        <v>27951.7</v>
      </c>
      <c r="C155" s="143">
        <f>SUM(C146:C154)</f>
        <v>36388.699999999997</v>
      </c>
      <c r="D155" s="172"/>
      <c r="R155" s="142" t="s">
        <v>646</v>
      </c>
      <c r="S155" s="143">
        <f>SUM(S146:S154)</f>
        <v>22.541693548387094</v>
      </c>
      <c r="T155" s="143">
        <f>SUM(T146:T154)</f>
        <v>29.345725806451615</v>
      </c>
    </row>
    <row r="156" spans="1:20" ht="25.5">
      <c r="A156" s="150" t="s">
        <v>52</v>
      </c>
      <c r="B156" s="151">
        <v>28000</v>
      </c>
      <c r="C156" s="151">
        <v>36400</v>
      </c>
      <c r="D156" s="173"/>
      <c r="R156" s="150" t="s">
        <v>52</v>
      </c>
      <c r="S156" s="151">
        <v>28000</v>
      </c>
      <c r="T156" s="151">
        <v>36400</v>
      </c>
    </row>
    <row r="157" spans="1:20">
      <c r="A157" s="165" t="s">
        <v>1082</v>
      </c>
    </row>
    <row r="158" spans="1:20" ht="25.5">
      <c r="A158" s="150" t="s">
        <v>430</v>
      </c>
      <c r="B158" s="168" t="s">
        <v>944</v>
      </c>
      <c r="C158" s="168" t="s">
        <v>436</v>
      </c>
      <c r="E158" s="171"/>
    </row>
    <row r="159" spans="1:20">
      <c r="A159" s="150" t="s">
        <v>108</v>
      </c>
      <c r="B159" s="170">
        <v>21.9</v>
      </c>
      <c r="C159" s="170">
        <v>21.9</v>
      </c>
      <c r="E159" s="174"/>
    </row>
    <row r="160" spans="1:20" ht="25.5">
      <c r="A160" s="150" t="s">
        <v>109</v>
      </c>
      <c r="B160" s="170">
        <v>4.1599999999999996E-3</v>
      </c>
      <c r="C160" s="170">
        <v>3.13E-3</v>
      </c>
      <c r="E160" s="174"/>
    </row>
    <row r="161" spans="1:5" ht="25.5">
      <c r="A161" s="150" t="s">
        <v>1188</v>
      </c>
      <c r="B161" s="170">
        <v>-130</v>
      </c>
      <c r="C161" s="170">
        <v>-129</v>
      </c>
      <c r="E161" s="174"/>
    </row>
    <row r="162" spans="1:5" ht="25.5">
      <c r="A162" s="150" t="s">
        <v>1189</v>
      </c>
      <c r="B162" s="170">
        <v>-14.6</v>
      </c>
      <c r="C162" s="170">
        <v>-8.82</v>
      </c>
      <c r="E162" s="174"/>
    </row>
    <row r="163" spans="1:5">
      <c r="A163" s="150" t="s">
        <v>107</v>
      </c>
      <c r="B163" s="170">
        <v>0.35399999999999998</v>
      </c>
      <c r="C163" s="170">
        <v>0.22500000000000001</v>
      </c>
      <c r="E163" s="174"/>
    </row>
    <row r="164" spans="1:5">
      <c r="A164" s="150" t="s">
        <v>1187</v>
      </c>
      <c r="B164" s="170">
        <v>2.8600000000000001E-3</v>
      </c>
      <c r="C164" s="170">
        <v>2.5200000000000001E-3</v>
      </c>
      <c r="E164" s="174"/>
    </row>
    <row r="165" spans="1:5">
      <c r="A165" s="150" t="s">
        <v>1234</v>
      </c>
      <c r="B165" s="170">
        <v>10.3</v>
      </c>
      <c r="C165" s="170">
        <v>10.1</v>
      </c>
      <c r="E165" s="174"/>
    </row>
    <row r="166" spans="1:5" ht="38.25">
      <c r="A166" s="150" t="s">
        <v>1124</v>
      </c>
      <c r="B166" s="170">
        <v>-0.67300000000000004</v>
      </c>
      <c r="C166" s="170">
        <v>-0.504</v>
      </c>
      <c r="E166" s="174"/>
    </row>
    <row r="167" spans="1:5">
      <c r="A167" s="150" t="s">
        <v>1125</v>
      </c>
      <c r="B167" s="170">
        <v>-0.26300000000000001</v>
      </c>
      <c r="C167" s="170">
        <v>-0.221</v>
      </c>
      <c r="E167" s="174"/>
    </row>
    <row r="168" spans="1:5">
      <c r="A168" s="150" t="s">
        <v>1237</v>
      </c>
      <c r="B168" s="170">
        <v>-24.8</v>
      </c>
      <c r="C168" s="170">
        <v>-24.9</v>
      </c>
      <c r="E168" s="174"/>
    </row>
    <row r="169" spans="1:5">
      <c r="A169" s="150" t="s">
        <v>1238</v>
      </c>
      <c r="B169" s="170">
        <v>24.7</v>
      </c>
      <c r="C169" s="170">
        <v>52.8</v>
      </c>
      <c r="E169" s="174"/>
    </row>
    <row r="170" spans="1:5">
      <c r="A170" s="165" t="s">
        <v>1083</v>
      </c>
    </row>
    <row r="171" spans="1:5" ht="25.5">
      <c r="A171" s="150" t="s">
        <v>430</v>
      </c>
      <c r="B171" s="168" t="s">
        <v>944</v>
      </c>
      <c r="C171" s="168" t="s">
        <v>436</v>
      </c>
      <c r="D171" s="171"/>
    </row>
    <row r="172" spans="1:5">
      <c r="A172" s="150" t="s">
        <v>108</v>
      </c>
      <c r="B172" s="170">
        <v>2.56</v>
      </c>
      <c r="C172" s="170">
        <v>2.62</v>
      </c>
      <c r="D172" s="174"/>
    </row>
    <row r="173" spans="1:5" ht="25.5">
      <c r="A173" s="150" t="s">
        <v>109</v>
      </c>
      <c r="B173" s="170">
        <v>2.5100000000000001E-2</v>
      </c>
      <c r="C173" s="170">
        <v>2.41E-2</v>
      </c>
      <c r="D173" s="174"/>
    </row>
    <row r="174" spans="1:5" ht="25.5">
      <c r="A174" s="150" t="s">
        <v>1188</v>
      </c>
      <c r="B174" s="170">
        <v>36.5</v>
      </c>
      <c r="C174" s="170">
        <v>37.9</v>
      </c>
      <c r="D174" s="174"/>
    </row>
    <row r="175" spans="1:5" ht="25.5">
      <c r="A175" s="150" t="s">
        <v>1189</v>
      </c>
      <c r="B175" s="170">
        <v>6.42</v>
      </c>
      <c r="C175" s="170">
        <v>12.2</v>
      </c>
      <c r="D175" s="174"/>
    </row>
    <row r="176" spans="1:5">
      <c r="A176" s="150" t="s">
        <v>107</v>
      </c>
      <c r="B176" s="170">
        <v>0.30099999999999999</v>
      </c>
      <c r="C176" s="170">
        <v>0.17199999999999999</v>
      </c>
      <c r="D176" s="174"/>
    </row>
    <row r="177" spans="1:5">
      <c r="A177" s="150" t="s">
        <v>1187</v>
      </c>
      <c r="B177" s="170">
        <v>2.8300000000000001E-3</v>
      </c>
      <c r="C177" s="170">
        <v>2.49E-3</v>
      </c>
      <c r="D177" s="174"/>
    </row>
    <row r="178" spans="1:5">
      <c r="A178" s="150" t="s">
        <v>1234</v>
      </c>
      <c r="B178" s="170">
        <v>2.0699999999999998</v>
      </c>
      <c r="C178" s="170">
        <v>1.97</v>
      </c>
      <c r="D178" s="174"/>
    </row>
    <row r="179" spans="1:5" ht="38.25">
      <c r="A179" s="150" t="s">
        <v>1124</v>
      </c>
      <c r="B179" s="170">
        <v>1.23</v>
      </c>
      <c r="C179" s="170">
        <v>1.4</v>
      </c>
      <c r="D179" s="174"/>
    </row>
    <row r="180" spans="1:5">
      <c r="A180" s="150" t="s">
        <v>1125</v>
      </c>
      <c r="B180" s="170">
        <v>0.96899999999999997</v>
      </c>
      <c r="C180" s="170">
        <v>1.01</v>
      </c>
      <c r="D180" s="174"/>
    </row>
    <row r="181" spans="1:5">
      <c r="A181" s="150" t="s">
        <v>1237</v>
      </c>
      <c r="B181" s="170">
        <v>4.3499999999999996</v>
      </c>
      <c r="C181" s="170">
        <v>4.2699999999999996</v>
      </c>
      <c r="D181" s="174"/>
    </row>
    <row r="182" spans="1:5">
      <c r="A182" s="150" t="s">
        <v>1238</v>
      </c>
      <c r="B182" s="170">
        <v>35.299999999999997</v>
      </c>
      <c r="C182" s="170">
        <v>63.4</v>
      </c>
      <c r="D182" s="174"/>
    </row>
    <row r="184" spans="1:5">
      <c r="A184" s="165" t="s">
        <v>1057</v>
      </c>
    </row>
    <row r="185" spans="1:5" ht="25.5">
      <c r="A185" s="150" t="s">
        <v>430</v>
      </c>
      <c r="B185" s="168" t="s">
        <v>944</v>
      </c>
      <c r="C185" s="168" t="s">
        <v>436</v>
      </c>
      <c r="E185" s="171"/>
    </row>
    <row r="186" spans="1:5">
      <c r="A186" s="150" t="s">
        <v>108</v>
      </c>
      <c r="B186" s="151">
        <v>8740</v>
      </c>
      <c r="C186" s="151">
        <v>8760</v>
      </c>
      <c r="E186" s="153"/>
    </row>
    <row r="187" spans="1:5" ht="25.5">
      <c r="A187" s="150" t="s">
        <v>109</v>
      </c>
      <c r="B187" s="150">
        <v>1.66</v>
      </c>
      <c r="C187" s="150">
        <v>1.25</v>
      </c>
      <c r="E187" s="133"/>
    </row>
    <row r="188" spans="1:5" ht="25.5">
      <c r="A188" s="150" t="s">
        <v>1188</v>
      </c>
      <c r="B188" s="151">
        <v>-52200</v>
      </c>
      <c r="C188" s="151">
        <v>-51600</v>
      </c>
      <c r="E188" s="153"/>
    </row>
    <row r="189" spans="1:5" ht="25.5">
      <c r="A189" s="150" t="s">
        <v>1189</v>
      </c>
      <c r="B189" s="151">
        <v>-5830</v>
      </c>
      <c r="C189" s="151">
        <v>-3530</v>
      </c>
      <c r="E189" s="153"/>
    </row>
    <row r="190" spans="1:5">
      <c r="A190" s="150" t="s">
        <v>107</v>
      </c>
      <c r="B190" s="151">
        <v>142</v>
      </c>
      <c r="C190" s="151">
        <v>90</v>
      </c>
      <c r="E190" s="153"/>
    </row>
    <row r="191" spans="1:5">
      <c r="A191" s="150" t="s">
        <v>1187</v>
      </c>
      <c r="B191" s="150">
        <v>1.1399999999999999</v>
      </c>
      <c r="C191" s="150">
        <v>1.01</v>
      </c>
      <c r="E191" s="133"/>
    </row>
    <row r="192" spans="1:5">
      <c r="A192" s="150" t="s">
        <v>1234</v>
      </c>
      <c r="B192" s="151">
        <v>4110</v>
      </c>
      <c r="C192" s="151">
        <v>4050</v>
      </c>
      <c r="E192" s="153"/>
    </row>
    <row r="193" spans="1:5" ht="38.25">
      <c r="A193" s="150" t="s">
        <v>1124</v>
      </c>
      <c r="B193" s="151">
        <v>-269</v>
      </c>
      <c r="C193" s="151">
        <v>-202</v>
      </c>
      <c r="E193" s="153"/>
    </row>
    <row r="194" spans="1:5">
      <c r="A194" s="150" t="s">
        <v>1125</v>
      </c>
      <c r="B194" s="151">
        <v>-105</v>
      </c>
      <c r="C194" s="151">
        <v>-88.3</v>
      </c>
      <c r="E194" s="153"/>
    </row>
    <row r="195" spans="1:5">
      <c r="A195" s="150" t="s">
        <v>1237</v>
      </c>
      <c r="B195" s="151">
        <v>-4960</v>
      </c>
      <c r="C195" s="151">
        <v>-4970</v>
      </c>
      <c r="E195" s="153"/>
    </row>
    <row r="196" spans="1:5">
      <c r="A196" s="150" t="s">
        <v>1238</v>
      </c>
      <c r="B196" s="151">
        <v>4940</v>
      </c>
      <c r="C196" s="151">
        <v>10600</v>
      </c>
      <c r="E196" s="153"/>
    </row>
    <row r="197" spans="1:5">
      <c r="A197" s="142" t="s">
        <v>646</v>
      </c>
      <c r="B197" s="143">
        <f>SUM(B186:B196)</f>
        <v>-45429.2</v>
      </c>
      <c r="C197" s="143">
        <f>SUM(C186:C196)</f>
        <v>-36888.04</v>
      </c>
      <c r="E197" s="172"/>
    </row>
    <row r="198" spans="1:5" ht="25.5">
      <c r="A198" s="150" t="s">
        <v>52</v>
      </c>
      <c r="B198" s="167">
        <v>-45400</v>
      </c>
      <c r="C198" s="167">
        <v>-37000</v>
      </c>
      <c r="E198" s="153"/>
    </row>
    <row r="199" spans="1:5">
      <c r="A199" s="165" t="s">
        <v>285</v>
      </c>
    </row>
    <row r="200" spans="1:5" ht="25.5">
      <c r="A200" s="150" t="s">
        <v>430</v>
      </c>
      <c r="B200" s="168" t="s">
        <v>944</v>
      </c>
      <c r="C200" s="168" t="s">
        <v>436</v>
      </c>
      <c r="D200" s="171"/>
    </row>
    <row r="201" spans="1:5">
      <c r="A201" s="150" t="s">
        <v>108</v>
      </c>
      <c r="B201" s="151">
        <v>1020</v>
      </c>
      <c r="C201" s="151">
        <v>1050</v>
      </c>
      <c r="D201" s="153"/>
    </row>
    <row r="202" spans="1:5" ht="25.5">
      <c r="A202" s="150" t="s">
        <v>109</v>
      </c>
      <c r="B202" s="150">
        <v>10</v>
      </c>
      <c r="C202" s="150">
        <v>9.6199999999999992</v>
      </c>
      <c r="D202" s="133"/>
    </row>
    <row r="203" spans="1:5" ht="25.5">
      <c r="A203" s="150" t="s">
        <v>1188</v>
      </c>
      <c r="B203" s="151">
        <v>14600</v>
      </c>
      <c r="C203" s="151">
        <v>15100</v>
      </c>
      <c r="D203" s="153"/>
    </row>
    <row r="204" spans="1:5" ht="25.5">
      <c r="A204" s="150" t="s">
        <v>1189</v>
      </c>
      <c r="B204" s="151">
        <v>2570</v>
      </c>
      <c r="C204" s="151">
        <v>4870</v>
      </c>
      <c r="D204" s="153"/>
    </row>
    <row r="205" spans="1:5">
      <c r="A205" s="150" t="s">
        <v>107</v>
      </c>
      <c r="B205" s="151">
        <v>120</v>
      </c>
      <c r="C205" s="151">
        <v>69</v>
      </c>
      <c r="D205" s="153"/>
    </row>
    <row r="206" spans="1:5">
      <c r="A206" s="150" t="s">
        <v>1187</v>
      </c>
      <c r="B206" s="150">
        <v>1.1299999999999999</v>
      </c>
      <c r="C206" s="150">
        <v>0.98799999999999999</v>
      </c>
      <c r="D206" s="133"/>
    </row>
    <row r="207" spans="1:5">
      <c r="A207" s="150" t="s">
        <v>1234</v>
      </c>
      <c r="B207" s="151">
        <v>828</v>
      </c>
      <c r="C207" s="151">
        <v>763</v>
      </c>
      <c r="D207" s="153"/>
    </row>
    <row r="208" spans="1:5" ht="38.25">
      <c r="A208" s="150" t="s">
        <v>1124</v>
      </c>
      <c r="B208" s="151">
        <v>494</v>
      </c>
      <c r="C208" s="151">
        <v>5.61</v>
      </c>
      <c r="D208" s="153"/>
    </row>
    <row r="209" spans="1:4">
      <c r="A209" s="150" t="s">
        <v>1125</v>
      </c>
      <c r="B209" s="151">
        <v>388</v>
      </c>
      <c r="C209" s="151">
        <v>404</v>
      </c>
      <c r="D209" s="153"/>
    </row>
    <row r="210" spans="1:4">
      <c r="A210" s="150" t="s">
        <v>1237</v>
      </c>
      <c r="B210" s="151">
        <v>869</v>
      </c>
      <c r="C210" s="151">
        <v>854</v>
      </c>
      <c r="D210" s="153"/>
    </row>
    <row r="211" spans="1:4">
      <c r="A211" s="150" t="s">
        <v>1238</v>
      </c>
      <c r="B211" s="151">
        <v>7070</v>
      </c>
      <c r="C211" s="151">
        <v>12700</v>
      </c>
      <c r="D211" s="153"/>
    </row>
    <row r="212" spans="1:4">
      <c r="A212" s="142" t="s">
        <v>646</v>
      </c>
      <c r="B212" s="143">
        <f>SUM(B201:B211)</f>
        <v>27970.13</v>
      </c>
      <c r="C212" s="143">
        <f>SUM(C201:C211)</f>
        <v>35826.218000000001</v>
      </c>
      <c r="D212" s="172"/>
    </row>
    <row r="213" spans="1:4" ht="25.5">
      <c r="A213" s="150" t="s">
        <v>52</v>
      </c>
      <c r="B213" s="151">
        <v>28000</v>
      </c>
      <c r="C213" s="151">
        <v>3</v>
      </c>
      <c r="D213" s="173"/>
    </row>
    <row r="215" spans="1:4">
      <c r="A215" s="195"/>
      <c r="B215" s="196"/>
    </row>
    <row r="216" spans="1:4">
      <c r="A216" s="155"/>
      <c r="B216" s="194"/>
    </row>
    <row r="217" spans="1:4">
      <c r="A217" s="155"/>
      <c r="B217" s="194"/>
    </row>
    <row r="218" spans="1:4">
      <c r="A218" s="155"/>
      <c r="B218" s="194"/>
    </row>
    <row r="219" spans="1:4">
      <c r="A219" s="155"/>
      <c r="B219" s="194"/>
    </row>
    <row r="220" spans="1:4">
      <c r="A220" s="155"/>
      <c r="B220" s="194"/>
    </row>
    <row r="221" spans="1:4">
      <c r="A221" s="155"/>
      <c r="B221" s="155"/>
    </row>
    <row r="222" spans="1:4">
      <c r="A222" s="155"/>
      <c r="B222" s="155"/>
    </row>
    <row r="223" spans="1:4">
      <c r="A223" s="154"/>
      <c r="B223" s="154"/>
    </row>
    <row r="224" spans="1:4">
      <c r="A224" s="154"/>
      <c r="B224" s="154"/>
    </row>
    <row r="225" spans="1:2">
      <c r="A225" s="154"/>
      <c r="B225" s="154"/>
    </row>
    <row r="226" spans="1:2">
      <c r="A226" s="154"/>
      <c r="B226" s="154"/>
    </row>
    <row r="227" spans="1:2">
      <c r="A227" s="154"/>
      <c r="B227" s="154"/>
    </row>
  </sheetData>
  <phoneticPr fontId="5" type="noConversion"/>
  <pageMargins left="0.75" right="0.75" top="1" bottom="1" header="0.5" footer="0.5"/>
  <rowBreaks count="3" manualBreakCount="3">
    <brk id="44" max="16383" man="1"/>
    <brk id="88" max="16383" man="1"/>
    <brk id="129" max="16383" man="1"/>
  </rowBreaks>
  <colBreaks count="1" manualBreakCount="1">
    <brk id="15" max="1048575" man="1"/>
  </col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409"/>
  <sheetViews>
    <sheetView topLeftCell="D379" zoomScaleNormal="80" zoomScalePageLayoutView="80" workbookViewId="0">
      <selection activeCell="R417" sqref="R417"/>
    </sheetView>
  </sheetViews>
  <sheetFormatPr defaultColWidth="8.75" defaultRowHeight="14.25"/>
  <cols>
    <col min="1" max="1" width="11.375" customWidth="1"/>
    <col min="2" max="2" width="8.875" customWidth="1"/>
    <col min="3" max="3" width="12.25" customWidth="1"/>
    <col min="4" max="4" width="12.75" customWidth="1"/>
    <col min="5" max="5" width="13.125" customWidth="1"/>
    <col min="6" max="6" width="11.75" customWidth="1"/>
    <col min="19" max="19" width="10" customWidth="1"/>
  </cols>
  <sheetData>
    <row r="1" spans="1:21">
      <c r="A1" s="165" t="s">
        <v>708</v>
      </c>
    </row>
    <row r="2" spans="1:21" ht="40.5" customHeight="1">
      <c r="A2" s="150" t="s">
        <v>1218</v>
      </c>
      <c r="B2" s="168" t="s">
        <v>709</v>
      </c>
      <c r="C2" s="168" t="s">
        <v>550</v>
      </c>
      <c r="D2" s="168" t="s">
        <v>710</v>
      </c>
      <c r="E2" s="168" t="s">
        <v>594</v>
      </c>
      <c r="R2" s="150" t="s">
        <v>1218</v>
      </c>
      <c r="S2" s="168" t="s">
        <v>709</v>
      </c>
      <c r="T2" s="168" t="s">
        <v>550</v>
      </c>
      <c r="U2" s="168" t="s">
        <v>594</v>
      </c>
    </row>
    <row r="3" spans="1:21">
      <c r="A3" s="150" t="s">
        <v>8</v>
      </c>
      <c r="B3" s="151">
        <v>0</v>
      </c>
      <c r="C3" s="151">
        <v>0</v>
      </c>
      <c r="D3" s="151">
        <v>0</v>
      </c>
      <c r="E3" s="151">
        <v>0</v>
      </c>
      <c r="R3" s="150" t="s">
        <v>8</v>
      </c>
      <c r="S3" s="151">
        <f>(B3/124000)*100</f>
        <v>0</v>
      </c>
      <c r="T3" s="151">
        <f t="shared" ref="T3:T14" si="0">(C3/124000)*100</f>
        <v>0</v>
      </c>
      <c r="U3" s="151">
        <f t="shared" ref="U3:U14" si="1">(E3/124000)*100</f>
        <v>0</v>
      </c>
    </row>
    <row r="4" spans="1:21" ht="17.25" customHeight="1">
      <c r="A4" s="150" t="s">
        <v>78</v>
      </c>
      <c r="B4" s="151">
        <v>1000</v>
      </c>
      <c r="C4" s="151">
        <v>1000</v>
      </c>
      <c r="D4" s="151">
        <v>1000</v>
      </c>
      <c r="E4" s="151">
        <v>1000</v>
      </c>
      <c r="R4" s="150" t="s">
        <v>78</v>
      </c>
      <c r="S4" s="151">
        <f t="shared" ref="S4:S14" si="2">(B4/124000)*100</f>
        <v>0.80645161290322576</v>
      </c>
      <c r="T4" s="151">
        <f t="shared" si="0"/>
        <v>0.80645161290322576</v>
      </c>
      <c r="U4" s="151">
        <f t="shared" si="1"/>
        <v>0.80645161290322576</v>
      </c>
    </row>
    <row r="5" spans="1:21" ht="25.5">
      <c r="A5" s="150" t="s">
        <v>79</v>
      </c>
      <c r="B5" s="151">
        <v>100</v>
      </c>
      <c r="C5" s="151">
        <v>100</v>
      </c>
      <c r="D5" s="151">
        <v>100</v>
      </c>
      <c r="E5" s="151">
        <v>100</v>
      </c>
      <c r="R5" s="150" t="s">
        <v>79</v>
      </c>
      <c r="S5" s="151">
        <f t="shared" si="2"/>
        <v>8.0645161290322578E-2</v>
      </c>
      <c r="T5" s="151">
        <f t="shared" si="0"/>
        <v>8.0645161290322578E-2</v>
      </c>
      <c r="U5" s="151">
        <f t="shared" si="1"/>
        <v>8.0645161290322578E-2</v>
      </c>
    </row>
    <row r="6" spans="1:21" ht="14.25" customHeight="1">
      <c r="A6" s="162" t="s">
        <v>86</v>
      </c>
      <c r="B6" s="151">
        <v>5578</v>
      </c>
      <c r="C6" s="151">
        <v>5578</v>
      </c>
      <c r="D6" s="151">
        <v>5578</v>
      </c>
      <c r="E6" s="151">
        <v>5578</v>
      </c>
      <c r="R6" s="162" t="s">
        <v>86</v>
      </c>
      <c r="S6" s="151">
        <f t="shared" si="2"/>
        <v>4.4983870967741941</v>
      </c>
      <c r="T6" s="151">
        <f t="shared" si="0"/>
        <v>4.4983870967741941</v>
      </c>
      <c r="U6" s="151">
        <f t="shared" si="1"/>
        <v>4.4983870967741941</v>
      </c>
    </row>
    <row r="7" spans="1:21" ht="17.25" customHeight="1">
      <c r="A7" s="150" t="s">
        <v>11</v>
      </c>
      <c r="B7" s="151">
        <v>2967</v>
      </c>
      <c r="C7" s="151">
        <v>2967</v>
      </c>
      <c r="D7" s="151">
        <v>2967</v>
      </c>
      <c r="E7" s="151">
        <v>2967</v>
      </c>
      <c r="R7" s="150" t="s">
        <v>11</v>
      </c>
      <c r="S7" s="151">
        <f t="shared" si="2"/>
        <v>2.3927419354838708</v>
      </c>
      <c r="T7" s="151">
        <f t="shared" si="0"/>
        <v>2.3927419354838708</v>
      </c>
      <c r="U7" s="151">
        <f t="shared" si="1"/>
        <v>2.3927419354838708</v>
      </c>
    </row>
    <row r="8" spans="1:21">
      <c r="A8" s="150" t="s">
        <v>87</v>
      </c>
      <c r="B8" s="151">
        <v>3234</v>
      </c>
      <c r="C8" s="151">
        <v>3234</v>
      </c>
      <c r="D8" s="151">
        <v>3234</v>
      </c>
      <c r="E8" s="151">
        <v>3234</v>
      </c>
      <c r="R8" s="150" t="s">
        <v>87</v>
      </c>
      <c r="S8" s="151">
        <f t="shared" si="2"/>
        <v>2.6080645161290321</v>
      </c>
      <c r="T8" s="151">
        <f t="shared" si="0"/>
        <v>2.6080645161290321</v>
      </c>
      <c r="U8" s="151">
        <f t="shared" si="1"/>
        <v>2.6080645161290321</v>
      </c>
    </row>
    <row r="9" spans="1:21">
      <c r="A9" s="150" t="s">
        <v>88</v>
      </c>
      <c r="B9" s="151">
        <v>4550</v>
      </c>
      <c r="C9" s="151">
        <v>4550</v>
      </c>
      <c r="D9" s="151">
        <v>4550</v>
      </c>
      <c r="E9" s="151">
        <v>4550</v>
      </c>
      <c r="R9" s="150" t="s">
        <v>88</v>
      </c>
      <c r="S9" s="151">
        <f t="shared" si="2"/>
        <v>3.669354838709677</v>
      </c>
      <c r="T9" s="151">
        <f t="shared" si="0"/>
        <v>3.669354838709677</v>
      </c>
      <c r="U9" s="151">
        <f t="shared" si="1"/>
        <v>3.669354838709677</v>
      </c>
    </row>
    <row r="10" spans="1:21" ht="25.5">
      <c r="A10" s="150" t="s">
        <v>89</v>
      </c>
      <c r="B10" s="151">
        <v>3804</v>
      </c>
      <c r="C10" s="151">
        <v>3804</v>
      </c>
      <c r="D10" s="151">
        <v>3804</v>
      </c>
      <c r="E10" s="151">
        <v>3804</v>
      </c>
      <c r="R10" s="150" t="s">
        <v>89</v>
      </c>
      <c r="S10" s="151">
        <f t="shared" si="2"/>
        <v>3.0677419354838711</v>
      </c>
      <c r="T10" s="151">
        <f t="shared" si="0"/>
        <v>3.0677419354838711</v>
      </c>
      <c r="U10" s="151">
        <f t="shared" si="1"/>
        <v>3.0677419354838711</v>
      </c>
    </row>
    <row r="11" spans="1:21" ht="27" customHeight="1">
      <c r="A11" s="150" t="s">
        <v>90</v>
      </c>
      <c r="B11" s="151">
        <v>-111000</v>
      </c>
      <c r="C11" s="151">
        <v>-118000</v>
      </c>
      <c r="D11" s="151">
        <v>-44400</v>
      </c>
      <c r="E11" s="151">
        <v>-73600</v>
      </c>
      <c r="R11" s="150" t="s">
        <v>90</v>
      </c>
      <c r="S11" s="151">
        <f t="shared" si="2"/>
        <v>-89.516129032258064</v>
      </c>
      <c r="T11" s="151">
        <f t="shared" si="0"/>
        <v>-95.161290322580655</v>
      </c>
      <c r="U11" s="151">
        <f t="shared" si="1"/>
        <v>-59.354838709677416</v>
      </c>
    </row>
    <row r="12" spans="1:21">
      <c r="A12" s="150" t="s">
        <v>1182</v>
      </c>
      <c r="B12" s="151">
        <v>5240</v>
      </c>
      <c r="C12" s="151">
        <v>5240</v>
      </c>
      <c r="D12" s="151">
        <v>5240</v>
      </c>
      <c r="E12" s="151">
        <v>5240</v>
      </c>
      <c r="R12" s="150" t="s">
        <v>1182</v>
      </c>
      <c r="S12" s="151">
        <f t="shared" si="2"/>
        <v>4.225806451612903</v>
      </c>
      <c r="T12" s="151">
        <f t="shared" si="0"/>
        <v>4.225806451612903</v>
      </c>
      <c r="U12" s="151">
        <f t="shared" si="1"/>
        <v>4.225806451612903</v>
      </c>
    </row>
    <row r="13" spans="1:21">
      <c r="A13" s="150" t="s">
        <v>1224</v>
      </c>
      <c r="B13" s="151">
        <v>265.10000000000002</v>
      </c>
      <c r="C13" s="151">
        <v>265.10000000000002</v>
      </c>
      <c r="D13" s="151">
        <v>265.10000000000002</v>
      </c>
      <c r="E13" s="151">
        <v>265.10000000000002</v>
      </c>
      <c r="R13" s="150" t="s">
        <v>1224</v>
      </c>
      <c r="S13" s="151">
        <f t="shared" si="2"/>
        <v>0.21379032258064518</v>
      </c>
      <c r="T13" s="151">
        <f t="shared" si="0"/>
        <v>0.21379032258064518</v>
      </c>
      <c r="U13" s="151">
        <f t="shared" si="1"/>
        <v>0.21379032258064518</v>
      </c>
    </row>
    <row r="14" spans="1:21">
      <c r="A14" s="150" t="s">
        <v>91</v>
      </c>
      <c r="B14" s="151">
        <v>0</v>
      </c>
      <c r="C14" s="151">
        <v>0</v>
      </c>
      <c r="D14" s="151">
        <v>0</v>
      </c>
      <c r="E14" s="151">
        <v>0</v>
      </c>
      <c r="R14" s="150" t="s">
        <v>91</v>
      </c>
      <c r="S14" s="151">
        <f t="shared" si="2"/>
        <v>0</v>
      </c>
      <c r="T14" s="151">
        <f t="shared" si="0"/>
        <v>0</v>
      </c>
      <c r="U14" s="151">
        <f t="shared" si="1"/>
        <v>0</v>
      </c>
    </row>
    <row r="15" spans="1:21">
      <c r="A15" s="142" t="s">
        <v>646</v>
      </c>
      <c r="B15" s="143">
        <f>SUM(B3:B14)</f>
        <v>-84261.9</v>
      </c>
      <c r="C15" s="143">
        <f>SUM(C3:C14)</f>
        <v>-91261.9</v>
      </c>
      <c r="D15" s="143">
        <f>SUM(D3:D14)</f>
        <v>-17661.900000000001</v>
      </c>
      <c r="E15" s="143">
        <f>SUM(E3:E14)</f>
        <v>-46861.9</v>
      </c>
      <c r="R15" s="142" t="s">
        <v>646</v>
      </c>
      <c r="S15" s="143">
        <f>SUM(S3:S14)</f>
        <v>-67.953145161290323</v>
      </c>
      <c r="T15" s="143">
        <f>SUM(T3:T14)</f>
        <v>-73.598306451612913</v>
      </c>
      <c r="U15" s="143">
        <f>SUM(U3:U14)</f>
        <v>-37.791854838709682</v>
      </c>
    </row>
    <row r="16" spans="1:21" ht="25.5">
      <c r="A16" s="150" t="s">
        <v>52</v>
      </c>
      <c r="B16" s="167">
        <v>-84400</v>
      </c>
      <c r="C16" s="151">
        <v>-91000</v>
      </c>
      <c r="D16" s="167">
        <v>-17600</v>
      </c>
      <c r="E16" s="167">
        <v>-46600</v>
      </c>
      <c r="R16" s="150" t="s">
        <v>52</v>
      </c>
      <c r="S16" s="167">
        <v>-84400</v>
      </c>
      <c r="T16" s="151">
        <v>-91000</v>
      </c>
      <c r="U16" s="167">
        <v>-46600</v>
      </c>
    </row>
    <row r="17" spans="1:20">
      <c r="A17" s="165" t="s">
        <v>595</v>
      </c>
      <c r="T17" s="151">
        <f>(C17/124000)*100</f>
        <v>0</v>
      </c>
    </row>
    <row r="18" spans="1:20" ht="54.75" customHeight="1">
      <c r="A18" s="150" t="s">
        <v>430</v>
      </c>
      <c r="B18" s="168" t="s">
        <v>709</v>
      </c>
      <c r="C18" s="168" t="s">
        <v>550</v>
      </c>
      <c r="D18" s="168" t="s">
        <v>710</v>
      </c>
      <c r="E18" s="168" t="s">
        <v>594</v>
      </c>
    </row>
    <row r="19" spans="1:20">
      <c r="A19" s="150" t="s">
        <v>108</v>
      </c>
      <c r="B19" s="170">
        <v>-0.78600000000000003</v>
      </c>
      <c r="C19" s="170">
        <v>-4.3099999999999996</v>
      </c>
      <c r="D19" s="170">
        <v>-23.6</v>
      </c>
      <c r="E19" s="170">
        <v>21.8</v>
      </c>
    </row>
    <row r="20" spans="1:20" ht="25.5">
      <c r="A20" s="150" t="s">
        <v>109</v>
      </c>
      <c r="B20" s="170">
        <v>-2.81E-2</v>
      </c>
      <c r="C20" s="170">
        <v>-2.9700000000000001E-2</v>
      </c>
      <c r="D20" s="170">
        <v>-8.7299999999999999E-3</v>
      </c>
      <c r="E20" s="170">
        <v>2.7599999999999999E-3</v>
      </c>
    </row>
    <row r="21" spans="1:20" ht="25.5">
      <c r="A21" s="150" t="s">
        <v>1188</v>
      </c>
      <c r="B21" s="170">
        <v>-175</v>
      </c>
      <c r="C21" s="170">
        <v>-169</v>
      </c>
      <c r="D21" s="170">
        <v>-1.72</v>
      </c>
      <c r="E21" s="170">
        <v>-1.32</v>
      </c>
    </row>
    <row r="22" spans="1:20" ht="15" customHeight="1">
      <c r="A22" s="150" t="s">
        <v>1189</v>
      </c>
      <c r="B22" s="170">
        <v>-20.5</v>
      </c>
      <c r="C22" s="170">
        <v>-22.2</v>
      </c>
      <c r="D22" s="170">
        <v>-1.23</v>
      </c>
      <c r="E22" s="170">
        <v>-14.9</v>
      </c>
    </row>
    <row r="23" spans="1:20">
      <c r="A23" s="150" t="s">
        <v>107</v>
      </c>
      <c r="B23" s="170">
        <v>0.248</v>
      </c>
      <c r="C23" s="170">
        <v>0.222</v>
      </c>
      <c r="D23" s="170">
        <v>0.16900000000000001</v>
      </c>
      <c r="E23" s="170">
        <v>0.35</v>
      </c>
    </row>
    <row r="24" spans="1:20" ht="16.5" customHeight="1">
      <c r="A24" s="150" t="s">
        <v>1187</v>
      </c>
      <c r="B24" s="170">
        <v>3.77E-4</v>
      </c>
      <c r="C24" s="170">
        <v>2.9700000000000001E-4</v>
      </c>
      <c r="D24" s="170">
        <v>-3.2600000000000001E-4</v>
      </c>
      <c r="E24" s="170">
        <v>2.7000000000000001E-3</v>
      </c>
    </row>
    <row r="25" spans="1:20">
      <c r="A25" s="150" t="s">
        <v>1234</v>
      </c>
      <c r="B25" s="170">
        <v>-0.38700000000000001</v>
      </c>
      <c r="C25" s="170">
        <v>-1.74</v>
      </c>
      <c r="D25" s="170">
        <v>-9.9499999999999993</v>
      </c>
      <c r="E25" s="170">
        <v>10.1</v>
      </c>
    </row>
    <row r="26" spans="1:20" ht="27" customHeight="1">
      <c r="A26" s="150" t="s">
        <v>1124</v>
      </c>
      <c r="B26" s="170">
        <v>-1.73</v>
      </c>
      <c r="C26" s="170">
        <v>-1.77</v>
      </c>
      <c r="D26" s="170">
        <v>0.13400000000000001</v>
      </c>
      <c r="E26" s="170">
        <v>-0.72299999999999998</v>
      </c>
    </row>
    <row r="27" spans="1:20">
      <c r="A27" s="150" t="s">
        <v>1125</v>
      </c>
      <c r="B27" s="170">
        <v>-1.1499999999999999</v>
      </c>
      <c r="C27" s="170">
        <v>-1.3</v>
      </c>
      <c r="D27" s="170">
        <v>-6.6600000000000006E-2</v>
      </c>
      <c r="E27" s="170">
        <v>-0.308</v>
      </c>
    </row>
    <row r="28" spans="1:20">
      <c r="A28" s="150" t="s">
        <v>1237</v>
      </c>
      <c r="B28" s="170">
        <v>-2.67</v>
      </c>
      <c r="C28" s="170">
        <v>-26.2</v>
      </c>
      <c r="D28" s="170">
        <v>2.91</v>
      </c>
      <c r="E28" s="170">
        <v>-25</v>
      </c>
    </row>
    <row r="29" spans="1:20">
      <c r="A29" s="150" t="s">
        <v>1238</v>
      </c>
      <c r="B29" s="170">
        <v>-20.3</v>
      </c>
      <c r="C29" s="170">
        <v>-29.1</v>
      </c>
      <c r="D29" s="170">
        <v>-18.5</v>
      </c>
      <c r="E29" s="170">
        <v>22.5</v>
      </c>
    </row>
    <row r="30" spans="1:20">
      <c r="A30" s="165" t="s">
        <v>440</v>
      </c>
    </row>
    <row r="31" spans="1:20" ht="53.25" customHeight="1">
      <c r="A31" s="150" t="s">
        <v>430</v>
      </c>
      <c r="B31" s="168" t="s">
        <v>709</v>
      </c>
      <c r="C31" s="168" t="s">
        <v>550</v>
      </c>
      <c r="D31" s="168" t="s">
        <v>710</v>
      </c>
      <c r="E31" s="168" t="s">
        <v>594</v>
      </c>
    </row>
    <row r="32" spans="1:20">
      <c r="A32" s="150" t="s">
        <v>108</v>
      </c>
      <c r="B32" s="151">
        <v>-314</v>
      </c>
      <c r="C32" s="151">
        <v>-1730</v>
      </c>
      <c r="D32" s="151">
        <v>-9440</v>
      </c>
      <c r="E32" s="151">
        <v>8700</v>
      </c>
    </row>
    <row r="33" spans="1:23" ht="25.5">
      <c r="A33" s="150" t="s">
        <v>109</v>
      </c>
      <c r="B33" s="150">
        <v>-11.2</v>
      </c>
      <c r="C33" s="150">
        <v>-11.9</v>
      </c>
      <c r="D33" s="150">
        <v>-3.49</v>
      </c>
      <c r="E33" s="150">
        <v>1.1000000000000001</v>
      </c>
    </row>
    <row r="34" spans="1:23" ht="25.5">
      <c r="A34" s="150" t="s">
        <v>1188</v>
      </c>
      <c r="B34" s="151">
        <v>-70100</v>
      </c>
      <c r="C34" s="151">
        <v>-67500</v>
      </c>
      <c r="D34" s="151">
        <v>-687</v>
      </c>
      <c r="E34" s="151">
        <v>-52600</v>
      </c>
    </row>
    <row r="35" spans="1:23">
      <c r="A35" s="150" t="s">
        <v>1189</v>
      </c>
      <c r="B35" s="151">
        <v>-8210</v>
      </c>
      <c r="C35" s="151">
        <v>-8890</v>
      </c>
      <c r="D35" s="151">
        <v>-490</v>
      </c>
      <c r="E35" s="151">
        <v>-5970</v>
      </c>
    </row>
    <row r="36" spans="1:23">
      <c r="A36" s="150" t="s">
        <v>107</v>
      </c>
      <c r="B36" s="151">
        <v>99</v>
      </c>
      <c r="C36" s="151">
        <v>88.7</v>
      </c>
      <c r="D36" s="151">
        <v>67.7</v>
      </c>
      <c r="E36" s="151">
        <v>140</v>
      </c>
    </row>
    <row r="37" spans="1:23" ht="14.25" customHeight="1">
      <c r="A37" s="150" t="s">
        <v>1187</v>
      </c>
      <c r="B37" s="150">
        <v>0.151</v>
      </c>
      <c r="C37" s="150">
        <v>-0.11899999999999999</v>
      </c>
      <c r="D37" s="150">
        <v>-0.13</v>
      </c>
      <c r="E37" s="150">
        <v>1.08</v>
      </c>
    </row>
    <row r="38" spans="1:23">
      <c r="A38" s="150" t="s">
        <v>1234</v>
      </c>
      <c r="B38" s="151">
        <v>-155</v>
      </c>
      <c r="C38" s="151">
        <v>-694</v>
      </c>
      <c r="D38" s="151">
        <v>-3980</v>
      </c>
      <c r="E38" s="151">
        <v>4060</v>
      </c>
    </row>
    <row r="39" spans="1:23" ht="28.5" customHeight="1">
      <c r="A39" s="150" t="s">
        <v>1124</v>
      </c>
      <c r="B39" s="151">
        <v>-691</v>
      </c>
      <c r="C39" s="151">
        <v>-709</v>
      </c>
      <c r="D39" s="151">
        <v>53.5</v>
      </c>
      <c r="E39" s="151">
        <v>-289</v>
      </c>
    </row>
    <row r="40" spans="1:23">
      <c r="A40" s="150" t="s">
        <v>1125</v>
      </c>
      <c r="B40" s="151">
        <v>-459</v>
      </c>
      <c r="C40" s="151">
        <v>-529</v>
      </c>
      <c r="D40" s="151">
        <v>-26.6</v>
      </c>
      <c r="E40" s="151">
        <v>-123</v>
      </c>
    </row>
    <row r="41" spans="1:23">
      <c r="A41" s="150" t="s">
        <v>1237</v>
      </c>
      <c r="B41" s="151">
        <v>-533</v>
      </c>
      <c r="C41" s="151">
        <v>-5240</v>
      </c>
      <c r="D41" s="151">
        <v>583</v>
      </c>
      <c r="E41" s="151">
        <v>-5000</v>
      </c>
    </row>
    <row r="42" spans="1:23">
      <c r="A42" s="150" t="s">
        <v>1238</v>
      </c>
      <c r="B42" s="151">
        <v>-4060</v>
      </c>
      <c r="C42" s="151">
        <v>-5830</v>
      </c>
      <c r="D42" s="151">
        <v>-3700</v>
      </c>
      <c r="E42" s="151">
        <v>4480</v>
      </c>
    </row>
    <row r="43" spans="1:23">
      <c r="A43" s="142" t="s">
        <v>646</v>
      </c>
      <c r="B43" s="143">
        <f>SUM(B32:B42)</f>
        <v>-84434.048999999999</v>
      </c>
      <c r="C43" s="143">
        <f>SUM(C32:C42)</f>
        <v>-91045.319000000003</v>
      </c>
      <c r="D43" s="143">
        <f>SUM(D32:D42)</f>
        <v>-17623.019999999997</v>
      </c>
      <c r="E43" s="143">
        <f>SUM(E32:E42)</f>
        <v>-46599.82</v>
      </c>
    </row>
    <row r="44" spans="1:23" ht="25.5">
      <c r="A44" s="150" t="s">
        <v>52</v>
      </c>
      <c r="B44" s="167">
        <v>-84400</v>
      </c>
      <c r="C44" s="151">
        <v>-91000</v>
      </c>
      <c r="D44" s="167">
        <v>-17600</v>
      </c>
      <c r="E44" s="167">
        <v>-46600</v>
      </c>
    </row>
    <row r="45" spans="1:23">
      <c r="A45" s="165" t="s">
        <v>597</v>
      </c>
    </row>
    <row r="46" spans="1:23" ht="28.5" customHeight="1">
      <c r="A46" s="150" t="s">
        <v>1218</v>
      </c>
      <c r="B46" s="168" t="s">
        <v>548</v>
      </c>
      <c r="C46" s="168" t="s">
        <v>673</v>
      </c>
      <c r="D46" s="168" t="s">
        <v>546</v>
      </c>
      <c r="E46" s="168" t="s">
        <v>549</v>
      </c>
      <c r="F46" s="168" t="s">
        <v>547</v>
      </c>
      <c r="S46" s="150" t="s">
        <v>1218</v>
      </c>
      <c r="T46" s="168" t="s">
        <v>548</v>
      </c>
      <c r="U46" s="168" t="s">
        <v>673</v>
      </c>
      <c r="V46" s="168" t="s">
        <v>546</v>
      </c>
      <c r="W46" s="168" t="s">
        <v>547</v>
      </c>
    </row>
    <row r="47" spans="1:23">
      <c r="A47" s="150" t="s">
        <v>8</v>
      </c>
      <c r="B47" s="151">
        <v>0</v>
      </c>
      <c r="C47" s="151">
        <v>0</v>
      </c>
      <c r="D47" s="151">
        <v>0</v>
      </c>
      <c r="E47" s="151">
        <v>0</v>
      </c>
      <c r="F47" s="151">
        <v>0</v>
      </c>
      <c r="S47" s="150" t="s">
        <v>8</v>
      </c>
      <c r="T47" s="151">
        <f>((B47/124000)*100)</f>
        <v>0</v>
      </c>
      <c r="U47" s="151">
        <f t="shared" ref="U47:V58" si="3">((C47/124000)*100)</f>
        <v>0</v>
      </c>
      <c r="V47" s="151">
        <f t="shared" si="3"/>
        <v>0</v>
      </c>
      <c r="W47" s="151">
        <f>((F47/124000)*100)</f>
        <v>0</v>
      </c>
    </row>
    <row r="48" spans="1:23" ht="17.25" customHeight="1">
      <c r="A48" s="150" t="s">
        <v>78</v>
      </c>
      <c r="B48" s="151">
        <v>1000</v>
      </c>
      <c r="C48" s="151">
        <v>2010</v>
      </c>
      <c r="D48" s="151">
        <v>4020</v>
      </c>
      <c r="E48" s="151">
        <v>5020</v>
      </c>
      <c r="F48" s="151">
        <v>6030</v>
      </c>
      <c r="S48" s="150" t="s">
        <v>78</v>
      </c>
      <c r="T48" s="151">
        <f t="shared" ref="T48:T58" si="4">((B48/124000)*100)</f>
        <v>0.80645161290322576</v>
      </c>
      <c r="U48" s="151">
        <f t="shared" si="3"/>
        <v>1.6209677419354838</v>
      </c>
      <c r="V48" s="151">
        <f t="shared" si="3"/>
        <v>3.2419354838709675</v>
      </c>
      <c r="W48" s="151">
        <f>((F48/124000)*100)</f>
        <v>4.862903225806452</v>
      </c>
    </row>
    <row r="49" spans="1:23" ht="25.5">
      <c r="A49" s="150" t="s">
        <v>79</v>
      </c>
      <c r="B49" s="151">
        <v>100</v>
      </c>
      <c r="C49" s="151">
        <v>200</v>
      </c>
      <c r="D49" s="151">
        <v>401</v>
      </c>
      <c r="E49" s="151">
        <v>502</v>
      </c>
      <c r="F49" s="151">
        <v>603</v>
      </c>
      <c r="S49" s="150" t="s">
        <v>79</v>
      </c>
      <c r="T49" s="151">
        <f>(T48*0.92)</f>
        <v>0.74193548387096775</v>
      </c>
      <c r="U49" s="151">
        <f>(U48*0.92)</f>
        <v>1.4912903225806451</v>
      </c>
      <c r="V49" s="151">
        <f>(V48*0.92)</f>
        <v>2.9825806451612902</v>
      </c>
      <c r="W49" s="151">
        <f>(W48*0.92)</f>
        <v>4.4738709677419362</v>
      </c>
    </row>
    <row r="50" spans="1:23" ht="17.25" customHeight="1">
      <c r="A50" s="162" t="s">
        <v>86</v>
      </c>
      <c r="B50" s="151">
        <v>1506</v>
      </c>
      <c r="C50" s="151">
        <v>1813</v>
      </c>
      <c r="D50" s="151">
        <v>2425</v>
      </c>
      <c r="E50" s="151">
        <v>2732</v>
      </c>
      <c r="F50" s="151">
        <v>3037</v>
      </c>
      <c r="S50" s="162" t="s">
        <v>86</v>
      </c>
      <c r="T50" s="151">
        <f t="shared" si="4"/>
        <v>1.2145161290322579</v>
      </c>
      <c r="U50" s="151">
        <f t="shared" si="3"/>
        <v>1.4620967741935484</v>
      </c>
      <c r="V50" s="151">
        <f t="shared" si="3"/>
        <v>1.9556451612903227</v>
      </c>
      <c r="W50" s="151">
        <f t="shared" ref="W50:W58" si="5">((F50/124000)*100)</f>
        <v>2.4491935483870968</v>
      </c>
    </row>
    <row r="51" spans="1:23" ht="15.75" customHeight="1">
      <c r="A51" s="150" t="s">
        <v>11</v>
      </c>
      <c r="B51" s="151">
        <v>4076</v>
      </c>
      <c r="C51" s="151">
        <v>4241</v>
      </c>
      <c r="D51" s="151">
        <v>4572</v>
      </c>
      <c r="E51" s="151">
        <v>4738</v>
      </c>
      <c r="F51" s="151">
        <v>4904</v>
      </c>
      <c r="S51" s="150" t="s">
        <v>11</v>
      </c>
      <c r="T51" s="151">
        <f t="shared" si="4"/>
        <v>3.2870967741935484</v>
      </c>
      <c r="U51" s="151">
        <f t="shared" si="3"/>
        <v>3.4201612903225804</v>
      </c>
      <c r="V51" s="151">
        <f t="shared" si="3"/>
        <v>3.6870967741935483</v>
      </c>
      <c r="W51" s="151">
        <f t="shared" si="5"/>
        <v>3.9548387096774191</v>
      </c>
    </row>
    <row r="52" spans="1:23">
      <c r="A52" s="150" t="s">
        <v>87</v>
      </c>
      <c r="B52" s="151">
        <v>3234</v>
      </c>
      <c r="C52" s="151">
        <v>3067</v>
      </c>
      <c r="D52" s="151">
        <v>2723</v>
      </c>
      <c r="E52" s="151">
        <v>2556</v>
      </c>
      <c r="F52" s="151">
        <v>2389</v>
      </c>
      <c r="S52" s="150" t="s">
        <v>87</v>
      </c>
      <c r="T52" s="151">
        <f t="shared" si="4"/>
        <v>2.6080645161290321</v>
      </c>
      <c r="U52" s="151">
        <f t="shared" si="3"/>
        <v>2.4733870967741938</v>
      </c>
      <c r="V52" s="151">
        <f t="shared" si="3"/>
        <v>2.1959677419354842</v>
      </c>
      <c r="W52" s="151">
        <f t="shared" si="5"/>
        <v>1.9266129032258064</v>
      </c>
    </row>
    <row r="53" spans="1:23">
      <c r="A53" s="150" t="s">
        <v>88</v>
      </c>
      <c r="B53" s="151">
        <v>4550</v>
      </c>
      <c r="C53" s="151">
        <v>4310</v>
      </c>
      <c r="D53" s="151">
        <v>3830</v>
      </c>
      <c r="E53" s="151">
        <v>3590</v>
      </c>
      <c r="F53" s="151">
        <v>3350</v>
      </c>
      <c r="S53" s="150" t="s">
        <v>88</v>
      </c>
      <c r="T53" s="151">
        <f t="shared" si="4"/>
        <v>3.669354838709677</v>
      </c>
      <c r="U53" s="151">
        <f t="shared" si="3"/>
        <v>3.4758064516129035</v>
      </c>
      <c r="V53" s="151">
        <f t="shared" si="3"/>
        <v>3.088709677419355</v>
      </c>
      <c r="W53" s="151">
        <f t="shared" si="5"/>
        <v>2.7016129032258065</v>
      </c>
    </row>
    <row r="54" spans="1:23" ht="25.5">
      <c r="A54" s="150" t="s">
        <v>89</v>
      </c>
      <c r="B54" s="151">
        <v>4169</v>
      </c>
      <c r="C54" s="151">
        <v>7968</v>
      </c>
      <c r="D54" s="151">
        <v>15570</v>
      </c>
      <c r="E54" s="151">
        <v>19490</v>
      </c>
      <c r="F54" s="151">
        <v>23190</v>
      </c>
      <c r="S54" s="150" t="s">
        <v>89</v>
      </c>
      <c r="T54" s="151">
        <f t="shared" si="4"/>
        <v>3.3620967741935486</v>
      </c>
      <c r="U54" s="151">
        <f t="shared" si="3"/>
        <v>6.4258064516129032</v>
      </c>
      <c r="V54" s="151">
        <f t="shared" si="3"/>
        <v>12.556451612903224</v>
      </c>
      <c r="W54" s="151">
        <f t="shared" si="5"/>
        <v>18.701612903225808</v>
      </c>
    </row>
    <row r="55" spans="1:23" ht="24.75" customHeight="1">
      <c r="A55" s="150" t="s">
        <v>90</v>
      </c>
      <c r="B55" s="151">
        <v>-73600</v>
      </c>
      <c r="C55" s="151">
        <v>-69900</v>
      </c>
      <c r="D55" s="151">
        <v>-61800</v>
      </c>
      <c r="E55" s="151">
        <v>-58000</v>
      </c>
      <c r="F55" s="151">
        <v>-54100</v>
      </c>
      <c r="S55" s="150" t="s">
        <v>90</v>
      </c>
      <c r="T55" s="151">
        <f t="shared" si="4"/>
        <v>-59.354838709677416</v>
      </c>
      <c r="U55" s="151">
        <f t="shared" si="3"/>
        <v>-56.370967741935488</v>
      </c>
      <c r="V55" s="151">
        <f t="shared" si="3"/>
        <v>-49.838709677419359</v>
      </c>
      <c r="W55" s="151">
        <f t="shared" si="5"/>
        <v>-43.629032258064512</v>
      </c>
    </row>
    <row r="56" spans="1:23">
      <c r="A56" s="150" t="s">
        <v>1182</v>
      </c>
      <c r="B56" s="151">
        <v>5240</v>
      </c>
      <c r="C56" s="151">
        <v>10500</v>
      </c>
      <c r="D56" s="151">
        <v>21000</v>
      </c>
      <c r="E56" s="151">
        <v>26300</v>
      </c>
      <c r="F56" s="151">
        <v>31500</v>
      </c>
      <c r="S56" s="150" t="s">
        <v>1182</v>
      </c>
      <c r="T56" s="151">
        <f t="shared" si="4"/>
        <v>4.225806451612903</v>
      </c>
      <c r="U56" s="151">
        <f t="shared" si="3"/>
        <v>8.4677419354838701</v>
      </c>
      <c r="V56" s="151">
        <f t="shared" si="3"/>
        <v>16.93548387096774</v>
      </c>
      <c r="W56" s="151">
        <f t="shared" si="5"/>
        <v>25.403225806451612</v>
      </c>
    </row>
    <row r="57" spans="1:23">
      <c r="A57" s="150" t="s">
        <v>1224</v>
      </c>
      <c r="B57" s="151">
        <v>265.10000000000002</v>
      </c>
      <c r="C57" s="151">
        <v>265.10000000000002</v>
      </c>
      <c r="D57" s="151">
        <v>1060</v>
      </c>
      <c r="E57" s="151">
        <v>1320</v>
      </c>
      <c r="F57" s="151">
        <v>1591</v>
      </c>
      <c r="S57" s="150" t="s">
        <v>1224</v>
      </c>
      <c r="T57" s="151">
        <f t="shared" si="4"/>
        <v>0.21379032258064518</v>
      </c>
      <c r="U57" s="151">
        <f t="shared" si="3"/>
        <v>0.21379032258064518</v>
      </c>
      <c r="V57" s="151">
        <f t="shared" si="3"/>
        <v>0.85483870967741937</v>
      </c>
      <c r="W57" s="151">
        <f t="shared" si="5"/>
        <v>1.2830645161290324</v>
      </c>
    </row>
    <row r="58" spans="1:23">
      <c r="A58" s="150" t="s">
        <v>91</v>
      </c>
      <c r="B58" s="151">
        <v>0</v>
      </c>
      <c r="C58" s="151">
        <v>0</v>
      </c>
      <c r="D58" s="151">
        <v>0</v>
      </c>
      <c r="E58" s="151">
        <v>0</v>
      </c>
      <c r="F58" s="151">
        <v>0</v>
      </c>
      <c r="S58" s="150" t="s">
        <v>91</v>
      </c>
      <c r="T58" s="151">
        <f t="shared" si="4"/>
        <v>0</v>
      </c>
      <c r="U58" s="151">
        <f t="shared" si="3"/>
        <v>0</v>
      </c>
      <c r="V58" s="151">
        <f t="shared" si="3"/>
        <v>0</v>
      </c>
      <c r="W58" s="151">
        <f t="shared" si="5"/>
        <v>0</v>
      </c>
    </row>
    <row r="59" spans="1:23">
      <c r="A59" s="142" t="s">
        <v>646</v>
      </c>
      <c r="B59" s="143">
        <f>SUM(B47:B58)</f>
        <v>-49459.9</v>
      </c>
      <c r="C59" s="143">
        <f>SUM(C47:C58)</f>
        <v>-35525.9</v>
      </c>
      <c r="D59" s="143">
        <f>SUM(D47:D58)</f>
        <v>-6199</v>
      </c>
      <c r="E59" s="143">
        <f>SUM(E47:E58)</f>
        <v>8248</v>
      </c>
      <c r="F59" s="143">
        <f>SUM(F47:F58)</f>
        <v>22494</v>
      </c>
      <c r="S59" s="142" t="s">
        <v>646</v>
      </c>
      <c r="T59" s="143">
        <f>SUM(T47:T58)</f>
        <v>-39.225725806451607</v>
      </c>
      <c r="U59" s="143">
        <f>SUM(U47:U58)</f>
        <v>-27.319919354838706</v>
      </c>
      <c r="V59" s="143">
        <f>SUM(V47:V58)</f>
        <v>-2.3400000000000074</v>
      </c>
      <c r="W59" s="143">
        <f>SUM(W47:W58)</f>
        <v>22.127903225806463</v>
      </c>
    </row>
    <row r="60" spans="1:23" ht="25.5">
      <c r="A60" s="150" t="s">
        <v>52</v>
      </c>
      <c r="B60" s="167">
        <v>-48400</v>
      </c>
      <c r="C60" s="151">
        <v>-34900</v>
      </c>
      <c r="D60" s="167">
        <v>-6160</v>
      </c>
      <c r="E60" s="167">
        <v>8190</v>
      </c>
      <c r="F60" s="167">
        <v>22500</v>
      </c>
      <c r="S60" s="150" t="s">
        <v>52</v>
      </c>
      <c r="T60" s="167">
        <v>-48400</v>
      </c>
      <c r="U60" s="151">
        <v>-34900</v>
      </c>
      <c r="V60" s="167">
        <v>-6160</v>
      </c>
      <c r="W60" s="167">
        <v>22500</v>
      </c>
    </row>
    <row r="61" spans="1:23">
      <c r="A61" s="165" t="s">
        <v>260</v>
      </c>
    </row>
    <row r="62" spans="1:23" ht="25.5">
      <c r="A62" s="150" t="s">
        <v>430</v>
      </c>
      <c r="B62" s="168" t="s">
        <v>548</v>
      </c>
      <c r="C62" s="168" t="s">
        <v>673</v>
      </c>
      <c r="D62" s="168" t="s">
        <v>546</v>
      </c>
      <c r="E62" s="168" t="s">
        <v>549</v>
      </c>
      <c r="F62" s="168" t="s">
        <v>547</v>
      </c>
    </row>
    <row r="63" spans="1:23">
      <c r="A63" s="150" t="s">
        <v>108</v>
      </c>
      <c r="B63" s="170">
        <v>21.8</v>
      </c>
      <c r="C63" s="170">
        <v>21.9</v>
      </c>
      <c r="D63" s="170">
        <v>22.2</v>
      </c>
      <c r="E63" s="170">
        <v>22.4</v>
      </c>
      <c r="F63" s="170">
        <v>22.5</v>
      </c>
    </row>
    <row r="64" spans="1:23" ht="25.5">
      <c r="A64" s="150" t="s">
        <v>109</v>
      </c>
      <c r="B64" s="170">
        <v>-6.1700000000000004E-4</v>
      </c>
      <c r="C64" s="170">
        <v>7.6800000000000002E-3</v>
      </c>
      <c r="D64" s="170">
        <v>2.6100000000000002E-2</v>
      </c>
      <c r="E64" s="170">
        <v>3.5299999999999998E-2</v>
      </c>
      <c r="F64" s="170">
        <v>4.4400000000000002E-2</v>
      </c>
    </row>
    <row r="65" spans="1:6" ht="25.5">
      <c r="A65" s="150" t="s">
        <v>1188</v>
      </c>
      <c r="B65" s="170">
        <v>-133</v>
      </c>
      <c r="C65" s="170">
        <v>-109</v>
      </c>
      <c r="D65" s="170">
        <v>-60.6</v>
      </c>
      <c r="E65" s="170">
        <v>-36.200000000000003</v>
      </c>
      <c r="F65" s="170">
        <v>-11.9</v>
      </c>
    </row>
    <row r="66" spans="1:6">
      <c r="A66" s="150" t="s">
        <v>1189</v>
      </c>
      <c r="B66" s="170">
        <v>-15.3</v>
      </c>
      <c r="C66" s="170">
        <v>-12</v>
      </c>
      <c r="D66" s="170">
        <v>-4.9000000000000004</v>
      </c>
      <c r="E66" s="170">
        <v>-1.35</v>
      </c>
      <c r="F66" s="170">
        <v>2.19</v>
      </c>
    </row>
    <row r="67" spans="1:6">
      <c r="A67" s="150" t="s">
        <v>107</v>
      </c>
      <c r="B67" s="170">
        <v>0.35199999999999998</v>
      </c>
      <c r="C67" s="170">
        <v>0.36599999999999999</v>
      </c>
      <c r="D67" s="170">
        <v>0.40300000000000002</v>
      </c>
      <c r="E67" s="170">
        <v>0.42099999999999999</v>
      </c>
      <c r="F67" s="170">
        <v>0.439</v>
      </c>
    </row>
    <row r="68" spans="1:6" ht="17.25" customHeight="1">
      <c r="A68" s="150" t="s">
        <v>1187</v>
      </c>
      <c r="B68" s="170">
        <v>2.2000000000000001E-3</v>
      </c>
      <c r="C68" s="170">
        <v>2.66E-3</v>
      </c>
      <c r="D68" s="170">
        <v>3.7699999999999999E-3</v>
      </c>
      <c r="E68" s="170">
        <v>4.3299999999999996E-3</v>
      </c>
      <c r="F68" s="170">
        <v>4.8900000000000002E-3</v>
      </c>
    </row>
    <row r="69" spans="1:6">
      <c r="A69" s="150" t="s">
        <v>1234</v>
      </c>
      <c r="B69" s="170">
        <v>10.199999999999999</v>
      </c>
      <c r="C69" s="170">
        <v>10.4</v>
      </c>
      <c r="D69" s="170">
        <v>11.1</v>
      </c>
      <c r="E69" s="170">
        <v>11.5</v>
      </c>
      <c r="F69" s="170">
        <v>11.8</v>
      </c>
    </row>
    <row r="70" spans="1:6" ht="29.25" customHeight="1">
      <c r="A70" s="150" t="s">
        <v>1124</v>
      </c>
      <c r="B70" s="170">
        <v>-0.85399999999999998</v>
      </c>
      <c r="C70" s="170">
        <v>-0.436</v>
      </c>
      <c r="D70" s="170">
        <v>0.44500000000000001</v>
      </c>
      <c r="E70" s="170">
        <v>0.88600000000000001</v>
      </c>
      <c r="F70" s="170">
        <v>1.33</v>
      </c>
    </row>
    <row r="71" spans="1:6">
      <c r="A71" s="150" t="s">
        <v>1125</v>
      </c>
      <c r="B71" s="170">
        <v>-0.34399999999999997</v>
      </c>
      <c r="C71" s="170">
        <v>0.54900000000000004</v>
      </c>
      <c r="D71" s="170">
        <v>0.93</v>
      </c>
      <c r="E71" s="170">
        <v>1.37</v>
      </c>
      <c r="F71" s="170">
        <v>1.81</v>
      </c>
    </row>
    <row r="72" spans="1:6">
      <c r="A72" s="150" t="s">
        <v>1237</v>
      </c>
      <c r="B72" s="170">
        <v>-24.9</v>
      </c>
      <c r="C72" s="170">
        <v>-21</v>
      </c>
      <c r="D72" s="170">
        <v>-12.8</v>
      </c>
      <c r="E72" s="170">
        <v>-8.64</v>
      </c>
      <c r="F72" s="170">
        <v>-4.53</v>
      </c>
    </row>
    <row r="73" spans="1:6">
      <c r="A73" s="150" t="s">
        <v>1238</v>
      </c>
      <c r="B73" s="170">
        <v>17.100000000000001</v>
      </c>
      <c r="C73" s="170">
        <v>24.6</v>
      </c>
      <c r="D73" s="170">
        <v>42.6</v>
      </c>
      <c r="E73" s="170">
        <v>51.7</v>
      </c>
      <c r="F73" s="170">
        <v>60.7</v>
      </c>
    </row>
    <row r="74" spans="1:6">
      <c r="A74" s="165" t="s">
        <v>261</v>
      </c>
    </row>
    <row r="75" spans="1:6" ht="25.5">
      <c r="A75" s="150" t="s">
        <v>430</v>
      </c>
      <c r="B75" s="168" t="s">
        <v>548</v>
      </c>
      <c r="C75" s="168" t="s">
        <v>673</v>
      </c>
      <c r="D75" s="168" t="s">
        <v>546</v>
      </c>
      <c r="E75" s="168" t="s">
        <v>549</v>
      </c>
      <c r="F75" s="168" t="s">
        <v>547</v>
      </c>
    </row>
    <row r="76" spans="1:6">
      <c r="A76" s="150" t="s">
        <v>108</v>
      </c>
      <c r="B76" s="151">
        <v>8710</v>
      </c>
      <c r="C76" s="151">
        <v>8740</v>
      </c>
      <c r="D76" s="151">
        <v>8880</v>
      </c>
      <c r="E76" s="151">
        <v>8940</v>
      </c>
      <c r="F76" s="151">
        <v>9010</v>
      </c>
    </row>
    <row r="77" spans="1:6" ht="25.5">
      <c r="A77" s="150" t="s">
        <v>109</v>
      </c>
      <c r="B77" s="150">
        <v>-0.247</v>
      </c>
      <c r="C77" s="150">
        <v>3.07</v>
      </c>
      <c r="D77" s="150">
        <v>10.4</v>
      </c>
      <c r="E77" s="150">
        <v>14.1</v>
      </c>
      <c r="F77" s="150">
        <v>17.8</v>
      </c>
    </row>
    <row r="78" spans="1:6" ht="25.5">
      <c r="A78" s="150" t="s">
        <v>1188</v>
      </c>
      <c r="B78" s="151">
        <v>-53200</v>
      </c>
      <c r="C78" s="151">
        <v>-43700</v>
      </c>
      <c r="D78" s="151">
        <v>-24200</v>
      </c>
      <c r="E78" s="151">
        <v>-14500</v>
      </c>
      <c r="F78" s="151">
        <v>-4770</v>
      </c>
    </row>
    <row r="79" spans="1:6">
      <c r="A79" s="150" t="s">
        <v>1189</v>
      </c>
      <c r="B79" s="151">
        <v>-6100</v>
      </c>
      <c r="C79" s="151">
        <v>-4790</v>
      </c>
      <c r="D79" s="151">
        <v>-1960</v>
      </c>
      <c r="E79" s="151">
        <v>-541</v>
      </c>
      <c r="F79" s="151">
        <v>877</v>
      </c>
    </row>
    <row r="80" spans="1:6">
      <c r="A80" s="150" t="s">
        <v>107</v>
      </c>
      <c r="B80" s="151">
        <v>141</v>
      </c>
      <c r="C80" s="151">
        <v>147</v>
      </c>
      <c r="D80" s="151">
        <v>161</v>
      </c>
      <c r="E80" s="151">
        <v>168</v>
      </c>
      <c r="F80" s="151">
        <v>176</v>
      </c>
    </row>
    <row r="81" spans="1:6">
      <c r="A81" s="150" t="s">
        <v>1187</v>
      </c>
      <c r="B81" s="150">
        <v>0.88</v>
      </c>
      <c r="C81" s="150">
        <v>1.06</v>
      </c>
      <c r="D81" s="150">
        <v>1.51</v>
      </c>
      <c r="E81" s="150">
        <v>1.73</v>
      </c>
      <c r="F81" s="150">
        <v>1.96</v>
      </c>
    </row>
    <row r="82" spans="1:6">
      <c r="A82" s="150" t="s">
        <v>1234</v>
      </c>
      <c r="B82" s="151">
        <v>4060</v>
      </c>
      <c r="C82" s="151">
        <v>4160</v>
      </c>
      <c r="D82" s="151">
        <v>4450</v>
      </c>
      <c r="E82" s="151">
        <v>4590</v>
      </c>
      <c r="F82" s="151">
        <v>4730</v>
      </c>
    </row>
    <row r="83" spans="1:6" ht="29.25" customHeight="1">
      <c r="A83" s="150" t="s">
        <v>1124</v>
      </c>
      <c r="B83" s="151">
        <v>-342</v>
      </c>
      <c r="C83" s="151">
        <v>-174</v>
      </c>
      <c r="D83" s="151">
        <v>178</v>
      </c>
      <c r="E83" s="151">
        <v>354</v>
      </c>
      <c r="F83" s="151">
        <v>530</v>
      </c>
    </row>
    <row r="84" spans="1:6">
      <c r="A84" s="150" t="s">
        <v>1125</v>
      </c>
      <c r="B84" s="151">
        <v>-138</v>
      </c>
      <c r="C84" s="151">
        <v>22</v>
      </c>
      <c r="D84" s="151">
        <v>372</v>
      </c>
      <c r="E84" s="151">
        <v>547</v>
      </c>
      <c r="F84" s="151">
        <v>722</v>
      </c>
    </row>
    <row r="85" spans="1:6">
      <c r="A85" s="150" t="s">
        <v>1237</v>
      </c>
      <c r="B85" s="151">
        <v>-4970</v>
      </c>
      <c r="C85" s="151">
        <v>-4200</v>
      </c>
      <c r="D85" s="151">
        <v>-2550</v>
      </c>
      <c r="E85" s="151">
        <v>-1730</v>
      </c>
      <c r="F85" s="151">
        <v>-906</v>
      </c>
    </row>
    <row r="86" spans="1:6">
      <c r="A86" s="150" t="s">
        <v>1238</v>
      </c>
      <c r="B86" s="151">
        <v>3420</v>
      </c>
      <c r="C86" s="151">
        <v>4910</v>
      </c>
      <c r="D86" s="151">
        <v>8530</v>
      </c>
      <c r="E86" s="151">
        <v>10300</v>
      </c>
      <c r="F86" s="151">
        <v>12100</v>
      </c>
    </row>
    <row r="87" spans="1:6">
      <c r="A87" s="142" t="s">
        <v>646</v>
      </c>
      <c r="B87" s="143">
        <f>SUM(B76:B86)</f>
        <v>-48418.367000000006</v>
      </c>
      <c r="C87" s="143">
        <f>SUM(C76:C86)</f>
        <v>-34880.870000000003</v>
      </c>
      <c r="D87" s="143">
        <f>SUM(D76:D86)</f>
        <v>-6127.09</v>
      </c>
      <c r="E87" s="143">
        <f>SUM(E76:E86)</f>
        <v>8143.83</v>
      </c>
      <c r="F87" s="143">
        <f>SUM(F76:F86)</f>
        <v>22488.76</v>
      </c>
    </row>
    <row r="88" spans="1:6" ht="25.5">
      <c r="A88" s="150" t="s">
        <v>52</v>
      </c>
      <c r="B88" s="167">
        <v>-48400</v>
      </c>
      <c r="C88" s="151">
        <v>-34900</v>
      </c>
      <c r="D88" s="167">
        <v>-6160</v>
      </c>
      <c r="E88" s="167">
        <v>8190</v>
      </c>
      <c r="F88" s="167">
        <v>22500</v>
      </c>
    </row>
    <row r="89" spans="1:6">
      <c r="A89" s="165" t="s">
        <v>448</v>
      </c>
    </row>
    <row r="90" spans="1:6" ht="38.25">
      <c r="A90" s="150" t="s">
        <v>1218</v>
      </c>
      <c r="B90" s="168" t="s">
        <v>445</v>
      </c>
      <c r="C90" s="168" t="s">
        <v>446</v>
      </c>
      <c r="D90" s="168" t="s">
        <v>447</v>
      </c>
      <c r="E90" s="168" t="s">
        <v>608</v>
      </c>
      <c r="F90" s="168" t="s">
        <v>609</v>
      </c>
    </row>
    <row r="91" spans="1:6">
      <c r="A91" s="150" t="s">
        <v>8</v>
      </c>
      <c r="B91" s="151">
        <v>0</v>
      </c>
      <c r="C91" s="151">
        <v>0</v>
      </c>
      <c r="D91" s="151">
        <v>0</v>
      </c>
      <c r="E91" s="151">
        <v>0</v>
      </c>
      <c r="F91" s="151">
        <v>0</v>
      </c>
    </row>
    <row r="92" spans="1:6">
      <c r="A92" s="150" t="s">
        <v>78</v>
      </c>
      <c r="B92" s="151">
        <v>1000</v>
      </c>
      <c r="C92" s="151">
        <v>1000</v>
      </c>
      <c r="D92" s="151">
        <v>1000</v>
      </c>
      <c r="E92" s="151">
        <v>1000</v>
      </c>
      <c r="F92" s="151">
        <v>1000</v>
      </c>
    </row>
    <row r="93" spans="1:6" ht="25.5">
      <c r="A93" s="150" t="s">
        <v>79</v>
      </c>
      <c r="B93" s="151">
        <v>100</v>
      </c>
      <c r="C93" s="151">
        <v>100</v>
      </c>
      <c r="D93" s="151">
        <v>923</v>
      </c>
      <c r="E93" s="151">
        <v>923</v>
      </c>
      <c r="F93" s="151">
        <v>100</v>
      </c>
    </row>
    <row r="94" spans="1:6">
      <c r="A94" s="162" t="s">
        <v>86</v>
      </c>
      <c r="B94" s="151">
        <v>1506</v>
      </c>
      <c r="C94" s="151">
        <v>1506</v>
      </c>
      <c r="D94" s="151">
        <v>1506</v>
      </c>
      <c r="E94" s="151">
        <v>1506</v>
      </c>
      <c r="F94" s="151">
        <v>5578</v>
      </c>
    </row>
    <row r="95" spans="1:6">
      <c r="A95" s="150" t="s">
        <v>11</v>
      </c>
      <c r="B95" s="151">
        <v>4076</v>
      </c>
      <c r="C95" s="151">
        <v>4076</v>
      </c>
      <c r="D95" s="151">
        <v>4076</v>
      </c>
      <c r="E95" s="151">
        <v>4076</v>
      </c>
      <c r="F95" s="151">
        <v>2960</v>
      </c>
    </row>
    <row r="96" spans="1:6">
      <c r="A96" s="150" t="s">
        <v>87</v>
      </c>
      <c r="B96" s="151">
        <v>3234</v>
      </c>
      <c r="C96" s="151">
        <v>3234</v>
      </c>
      <c r="D96" s="151">
        <v>3234</v>
      </c>
      <c r="E96" s="151">
        <v>3234</v>
      </c>
      <c r="F96" s="151">
        <v>3234</v>
      </c>
    </row>
    <row r="97" spans="1:6">
      <c r="A97" s="150" t="s">
        <v>88</v>
      </c>
      <c r="B97" s="151">
        <v>4550</v>
      </c>
      <c r="C97" s="151">
        <v>9100</v>
      </c>
      <c r="D97" s="151">
        <v>4550</v>
      </c>
      <c r="E97" s="151">
        <v>9100</v>
      </c>
      <c r="F97" s="151">
        <v>4550</v>
      </c>
    </row>
    <row r="98" spans="1:6" ht="25.5">
      <c r="A98" s="150" t="s">
        <v>89</v>
      </c>
      <c r="B98" s="151">
        <v>4169</v>
      </c>
      <c r="C98" s="151">
        <v>4169</v>
      </c>
      <c r="D98" s="151">
        <v>4169</v>
      </c>
      <c r="E98" s="151">
        <v>4169</v>
      </c>
      <c r="F98" s="151">
        <v>3804</v>
      </c>
    </row>
    <row r="99" spans="1:6" ht="25.5" customHeight="1">
      <c r="A99" s="150" t="s">
        <v>90</v>
      </c>
      <c r="B99" s="151">
        <v>-111000</v>
      </c>
      <c r="C99" s="151">
        <v>-111000</v>
      </c>
      <c r="D99" s="151">
        <v>-73600</v>
      </c>
      <c r="E99" s="151">
        <v>-73600</v>
      </c>
      <c r="F99" s="151">
        <v>-111000</v>
      </c>
    </row>
    <row r="100" spans="1:6">
      <c r="A100" s="150" t="s">
        <v>1182</v>
      </c>
      <c r="B100" s="151">
        <v>5244</v>
      </c>
      <c r="C100" s="151">
        <v>5244</v>
      </c>
      <c r="D100" s="151">
        <v>5252</v>
      </c>
      <c r="E100" s="151">
        <v>5252</v>
      </c>
      <c r="F100" s="151">
        <v>5244</v>
      </c>
    </row>
    <row r="101" spans="1:6">
      <c r="A101" s="150" t="s">
        <v>1224</v>
      </c>
      <c r="B101" s="151">
        <v>265.10000000000002</v>
      </c>
      <c r="C101" s="151">
        <v>265.10000000000002</v>
      </c>
      <c r="D101" s="151">
        <v>320.7</v>
      </c>
      <c r="E101" s="151">
        <v>320.7</v>
      </c>
      <c r="F101" s="151">
        <v>265.10000000000002</v>
      </c>
    </row>
    <row r="102" spans="1:6">
      <c r="A102" s="150" t="s">
        <v>91</v>
      </c>
      <c r="B102" s="151">
        <v>0</v>
      </c>
      <c r="C102" s="151">
        <v>0</v>
      </c>
      <c r="D102" s="151">
        <v>0</v>
      </c>
      <c r="E102" s="151">
        <v>0</v>
      </c>
      <c r="F102" s="151">
        <v>0</v>
      </c>
    </row>
    <row r="103" spans="1:6">
      <c r="A103" s="142" t="s">
        <v>646</v>
      </c>
      <c r="B103" s="143">
        <f>SUM(B91:B102)</f>
        <v>-86855.9</v>
      </c>
      <c r="C103" s="143">
        <f>SUM(C91:C102)</f>
        <v>-82305.899999999994</v>
      </c>
      <c r="D103" s="143">
        <f>SUM(D91:D102)</f>
        <v>-48569.3</v>
      </c>
      <c r="E103" s="143">
        <f>SUM(E91:E102)</f>
        <v>-44019.3</v>
      </c>
      <c r="F103" s="143">
        <f>SUM(F91:F102)</f>
        <v>-84264.9</v>
      </c>
    </row>
    <row r="104" spans="1:6" ht="25.5">
      <c r="A104" s="150" t="s">
        <v>52</v>
      </c>
      <c r="B104" s="167">
        <v>-87000</v>
      </c>
      <c r="C104" s="151">
        <v>-82500</v>
      </c>
      <c r="D104" s="167">
        <v>-48400</v>
      </c>
      <c r="E104" s="167">
        <v>-43800</v>
      </c>
      <c r="F104" s="167">
        <v>-84400</v>
      </c>
    </row>
    <row r="105" spans="1:6">
      <c r="A105" s="165" t="s">
        <v>486</v>
      </c>
    </row>
    <row r="106" spans="1:6" ht="25.5">
      <c r="A106" s="150" t="s">
        <v>430</v>
      </c>
      <c r="B106" s="168" t="s">
        <v>445</v>
      </c>
      <c r="C106" s="168" t="s">
        <v>446</v>
      </c>
      <c r="D106" s="168" t="s">
        <v>447</v>
      </c>
      <c r="E106" s="168" t="s">
        <v>608</v>
      </c>
      <c r="F106" s="171"/>
    </row>
    <row r="107" spans="1:6">
      <c r="A107" s="150" t="s">
        <v>108</v>
      </c>
      <c r="B107" s="170">
        <v>-0.85499999999999998</v>
      </c>
      <c r="C107" s="170">
        <v>-0.21299999999999999</v>
      </c>
      <c r="D107" s="170">
        <v>21.8</v>
      </c>
      <c r="E107" s="170">
        <v>22.4</v>
      </c>
      <c r="F107" s="174"/>
    </row>
    <row r="108" spans="1:6" ht="25.5">
      <c r="A108" s="150" t="s">
        <v>109</v>
      </c>
      <c r="B108" s="170">
        <v>-3.2399999999999998E-2</v>
      </c>
      <c r="C108" s="170">
        <v>-0.03</v>
      </c>
      <c r="D108" s="170">
        <v>-6.1700000000000004E-4</v>
      </c>
      <c r="E108" s="170">
        <v>1.72E-3</v>
      </c>
      <c r="F108" s="174"/>
    </row>
    <row r="109" spans="1:6" ht="25.5">
      <c r="A109" s="150" t="s">
        <v>1188</v>
      </c>
      <c r="B109" s="170">
        <v>-177</v>
      </c>
      <c r="C109" s="170">
        <v>-171</v>
      </c>
      <c r="D109" s="170">
        <v>-133</v>
      </c>
      <c r="E109" s="170">
        <v>-126</v>
      </c>
      <c r="F109" s="174"/>
    </row>
    <row r="110" spans="1:6">
      <c r="A110" s="150" t="s">
        <v>1189</v>
      </c>
      <c r="B110" s="170">
        <v>-21.1</v>
      </c>
      <c r="C110" s="170">
        <v>-20</v>
      </c>
      <c r="D110" s="170">
        <v>-15.3</v>
      </c>
      <c r="E110" s="170">
        <v>-14.1</v>
      </c>
      <c r="F110" s="174"/>
    </row>
    <row r="111" spans="1:6">
      <c r="A111" s="150" t="s">
        <v>107</v>
      </c>
      <c r="B111" s="170">
        <v>0.246</v>
      </c>
      <c r="C111" s="170">
        <v>0.48699999999999999</v>
      </c>
      <c r="D111" s="170">
        <v>0.35199999999999998</v>
      </c>
      <c r="E111" s="170">
        <v>0.59299999999999997</v>
      </c>
      <c r="F111" s="174"/>
    </row>
    <row r="112" spans="1:6">
      <c r="A112" s="150" t="s">
        <v>1187</v>
      </c>
      <c r="B112" s="170">
        <v>-2.2900000000000001E-4</v>
      </c>
      <c r="C112" s="170">
        <v>4.8700000000000002E-4</v>
      </c>
      <c r="D112" s="170">
        <v>2.2000000000000001E-3</v>
      </c>
      <c r="E112" s="170">
        <v>2.9099999999999998E-3</v>
      </c>
      <c r="F112" s="174"/>
    </row>
    <row r="113" spans="1:6">
      <c r="A113" s="150" t="s">
        <v>1234</v>
      </c>
      <c r="B113" s="170">
        <v>-0.49399999999999999</v>
      </c>
      <c r="C113" s="170">
        <v>-0.20300000000000001</v>
      </c>
      <c r="D113" s="170">
        <v>10.199999999999999</v>
      </c>
      <c r="E113" s="170">
        <v>10.5</v>
      </c>
      <c r="F113" s="174"/>
    </row>
    <row r="114" spans="1:6" ht="27.75" customHeight="1">
      <c r="A114" s="150" t="s">
        <v>1124</v>
      </c>
      <c r="B114" s="170">
        <v>-1.88</v>
      </c>
      <c r="C114" s="170">
        <v>-1.74</v>
      </c>
      <c r="D114" s="170">
        <v>-0.85399999999999998</v>
      </c>
      <c r="E114" s="170">
        <v>-0.71399999999999997</v>
      </c>
      <c r="F114" s="174"/>
    </row>
    <row r="115" spans="1:6">
      <c r="A115" s="150" t="s">
        <v>1125</v>
      </c>
      <c r="B115" s="170">
        <v>-1.22</v>
      </c>
      <c r="C115" s="170">
        <v>-0.98899999999999999</v>
      </c>
      <c r="D115" s="170">
        <v>-0.34399999999999997</v>
      </c>
      <c r="E115" s="170">
        <v>-0.112</v>
      </c>
      <c r="F115" s="174"/>
    </row>
    <row r="116" spans="1:6">
      <c r="A116" s="150" t="s">
        <v>1237</v>
      </c>
      <c r="B116" s="170">
        <v>-2.74</v>
      </c>
      <c r="C116" s="170">
        <v>-2.4700000000000002</v>
      </c>
      <c r="D116" s="170">
        <v>-24.9</v>
      </c>
      <c r="E116" s="170">
        <v>-24.6</v>
      </c>
      <c r="F116" s="174"/>
    </row>
    <row r="117" spans="1:6">
      <c r="A117" s="150" t="s">
        <v>1238</v>
      </c>
      <c r="B117" s="170">
        <v>-27.1</v>
      </c>
      <c r="C117" s="170">
        <v>-23.4</v>
      </c>
      <c r="D117" s="170">
        <v>17.100000000000001</v>
      </c>
      <c r="E117" s="170">
        <v>20.8</v>
      </c>
      <c r="F117" s="174"/>
    </row>
    <row r="118" spans="1:6">
      <c r="A118" s="165" t="s">
        <v>611</v>
      </c>
    </row>
    <row r="119" spans="1:6" ht="25.5">
      <c r="A119" s="150" t="s">
        <v>430</v>
      </c>
      <c r="B119" s="168" t="s">
        <v>445</v>
      </c>
      <c r="C119" s="168" t="s">
        <v>446</v>
      </c>
      <c r="D119" s="168" t="s">
        <v>447</v>
      </c>
      <c r="E119" s="168" t="s">
        <v>608</v>
      </c>
    </row>
    <row r="120" spans="1:6">
      <c r="A120" s="150" t="s">
        <v>108</v>
      </c>
      <c r="B120" s="151">
        <f>--342</f>
        <v>342</v>
      </c>
      <c r="C120" s="151">
        <v>-85</v>
      </c>
      <c r="D120" s="151">
        <v>8710</v>
      </c>
      <c r="E120" s="151">
        <v>8970</v>
      </c>
    </row>
    <row r="121" spans="1:6" ht="25.5">
      <c r="A121" s="150" t="s">
        <v>109</v>
      </c>
      <c r="B121" s="150">
        <v>-12.9</v>
      </c>
      <c r="C121" s="150">
        <v>-12</v>
      </c>
      <c r="D121" s="150">
        <v>-0.247</v>
      </c>
      <c r="E121" s="150">
        <v>0.68799999999999994</v>
      </c>
    </row>
    <row r="122" spans="1:6" ht="25.5">
      <c r="A122" s="150" t="s">
        <v>1188</v>
      </c>
      <c r="B122" s="151">
        <v>-70900</v>
      </c>
      <c r="C122" s="151">
        <v>-68200</v>
      </c>
      <c r="D122" s="151">
        <v>-53200</v>
      </c>
      <c r="E122" s="151">
        <v>-50500</v>
      </c>
    </row>
    <row r="123" spans="1:6">
      <c r="A123" s="150" t="s">
        <v>1189</v>
      </c>
      <c r="B123" s="151">
        <v>-8450</v>
      </c>
      <c r="C123" s="151">
        <v>-8010</v>
      </c>
      <c r="D123" s="151">
        <v>-6100</v>
      </c>
      <c r="E123" s="159">
        <v>-5660</v>
      </c>
    </row>
    <row r="124" spans="1:6">
      <c r="A124" s="150" t="s">
        <v>107</v>
      </c>
      <c r="B124" s="151">
        <v>98.3</v>
      </c>
      <c r="C124" s="151">
        <v>195</v>
      </c>
      <c r="D124" s="151">
        <v>141</v>
      </c>
      <c r="E124" s="151">
        <v>237</v>
      </c>
    </row>
    <row r="125" spans="1:6">
      <c r="A125" s="150" t="s">
        <v>1187</v>
      </c>
      <c r="B125" s="150">
        <v>-9.1499999999999998E-2</v>
      </c>
      <c r="C125" s="150">
        <v>0.19500000000000001</v>
      </c>
      <c r="D125" s="150">
        <v>0.88</v>
      </c>
      <c r="E125" s="151">
        <v>1.17</v>
      </c>
    </row>
    <row r="126" spans="1:6">
      <c r="A126" s="150" t="s">
        <v>1234</v>
      </c>
      <c r="B126" s="151">
        <v>-198</v>
      </c>
      <c r="C126" s="151">
        <v>-81.3</v>
      </c>
      <c r="D126" s="151">
        <v>4060</v>
      </c>
      <c r="E126" s="151">
        <v>4180</v>
      </c>
    </row>
    <row r="127" spans="1:6" ht="25.5">
      <c r="A127" s="150" t="s">
        <v>1124</v>
      </c>
      <c r="B127" s="151">
        <v>-753</v>
      </c>
      <c r="C127" s="151">
        <v>-697</v>
      </c>
      <c r="D127" s="151">
        <v>-342</v>
      </c>
      <c r="E127" s="151">
        <v>-286</v>
      </c>
    </row>
    <row r="128" spans="1:6">
      <c r="A128" s="150" t="s">
        <v>1125</v>
      </c>
      <c r="B128" s="151">
        <v>-488</v>
      </c>
      <c r="C128" s="151">
        <v>-396</v>
      </c>
      <c r="D128" s="151">
        <v>-138</v>
      </c>
      <c r="E128" s="151">
        <v>-44.9</v>
      </c>
    </row>
    <row r="129" spans="1:6">
      <c r="A129" s="150" t="s">
        <v>1237</v>
      </c>
      <c r="B129" s="151">
        <v>-549</v>
      </c>
      <c r="C129" s="151">
        <v>-495</v>
      </c>
      <c r="D129" s="151">
        <v>-4970</v>
      </c>
      <c r="E129" s="151">
        <v>-4923</v>
      </c>
    </row>
    <row r="130" spans="1:6">
      <c r="A130" s="150" t="s">
        <v>1238</v>
      </c>
      <c r="B130" s="151">
        <v>-5430</v>
      </c>
      <c r="C130" s="151">
        <v>-4680</v>
      </c>
      <c r="D130" s="151">
        <v>3420</v>
      </c>
      <c r="E130" s="151">
        <v>4170</v>
      </c>
    </row>
    <row r="131" spans="1:6">
      <c r="A131" s="142" t="s">
        <v>646</v>
      </c>
      <c r="B131" s="143">
        <f>SUM(B120:B130)</f>
        <v>-86340.691499999986</v>
      </c>
      <c r="C131" s="143">
        <f>SUM(C120:C130)</f>
        <v>-82461.104999999996</v>
      </c>
      <c r="D131" s="143">
        <f>SUM(D120:D130)</f>
        <v>-48418.367000000006</v>
      </c>
      <c r="E131" s="143">
        <f>SUM(E120:E130)</f>
        <v>-43855.042000000001</v>
      </c>
    </row>
    <row r="132" spans="1:6" ht="25.5">
      <c r="A132" s="150" t="s">
        <v>52</v>
      </c>
      <c r="B132" s="167">
        <v>-87000</v>
      </c>
      <c r="C132" s="151">
        <v>-82500</v>
      </c>
      <c r="D132" s="167">
        <v>-48400</v>
      </c>
      <c r="E132" s="167">
        <v>-43800</v>
      </c>
    </row>
    <row r="133" spans="1:6">
      <c r="A133" s="165" t="s">
        <v>461</v>
      </c>
    </row>
    <row r="134" spans="1:6" ht="25.5">
      <c r="A134" s="150" t="s">
        <v>1218</v>
      </c>
      <c r="B134" s="168" t="s">
        <v>445</v>
      </c>
      <c r="C134" s="168" t="s">
        <v>446</v>
      </c>
      <c r="D134" s="168" t="s">
        <v>447</v>
      </c>
      <c r="E134" s="168" t="s">
        <v>608</v>
      </c>
      <c r="F134" s="171"/>
    </row>
    <row r="135" spans="1:6">
      <c r="A135" s="150" t="s">
        <v>8</v>
      </c>
      <c r="B135" s="151">
        <v>0</v>
      </c>
      <c r="C135" s="151">
        <v>0</v>
      </c>
      <c r="D135" s="151">
        <v>0</v>
      </c>
      <c r="E135" s="151">
        <v>0</v>
      </c>
      <c r="F135" s="153"/>
    </row>
    <row r="136" spans="1:6">
      <c r="A136" s="150" t="s">
        <v>78</v>
      </c>
      <c r="B136" s="151">
        <v>1000</v>
      </c>
      <c r="C136" s="151">
        <v>1000</v>
      </c>
      <c r="D136" s="151">
        <v>1000</v>
      </c>
      <c r="E136" s="151">
        <v>1000</v>
      </c>
      <c r="F136" s="153"/>
    </row>
    <row r="137" spans="1:6" ht="25.5">
      <c r="A137" s="150" t="s">
        <v>79</v>
      </c>
      <c r="B137" s="151">
        <v>100</v>
      </c>
      <c r="C137" s="151">
        <v>100</v>
      </c>
      <c r="D137" s="151">
        <v>923</v>
      </c>
      <c r="E137" s="151">
        <v>923</v>
      </c>
      <c r="F137" s="153"/>
    </row>
    <row r="138" spans="1:6">
      <c r="A138" s="162" t="s">
        <v>86</v>
      </c>
      <c r="B138" s="151">
        <v>5570</v>
      </c>
      <c r="C138" s="151">
        <v>5570</v>
      </c>
      <c r="D138" s="151">
        <v>5819</v>
      </c>
      <c r="E138" s="151">
        <v>5819</v>
      </c>
      <c r="F138" s="153"/>
    </row>
    <row r="139" spans="1:6">
      <c r="A139" s="150" t="s">
        <v>11</v>
      </c>
      <c r="B139" s="151">
        <v>2967</v>
      </c>
      <c r="C139" s="151">
        <v>2967</v>
      </c>
      <c r="D139" s="151">
        <v>3095</v>
      </c>
      <c r="E139" s="151">
        <v>3095</v>
      </c>
      <c r="F139" s="153"/>
    </row>
    <row r="140" spans="1:6">
      <c r="A140" s="150" t="s">
        <v>87</v>
      </c>
      <c r="B140" s="151">
        <v>3234</v>
      </c>
      <c r="C140" s="151">
        <v>3234</v>
      </c>
      <c r="D140" s="151">
        <v>3234</v>
      </c>
      <c r="E140" s="151">
        <v>3234</v>
      </c>
      <c r="F140" s="153"/>
    </row>
    <row r="141" spans="1:6">
      <c r="A141" s="150" t="s">
        <v>88</v>
      </c>
      <c r="B141" s="151">
        <v>4550</v>
      </c>
      <c r="C141" s="151">
        <v>9100</v>
      </c>
      <c r="D141" s="151">
        <v>4550</v>
      </c>
      <c r="E141" s="151">
        <v>9100</v>
      </c>
      <c r="F141" s="153"/>
    </row>
    <row r="142" spans="1:6" ht="25.5">
      <c r="A142" s="150" t="s">
        <v>89</v>
      </c>
      <c r="B142" s="151">
        <v>3807</v>
      </c>
      <c r="C142" s="151">
        <v>3807</v>
      </c>
      <c r="D142" s="151">
        <v>3757</v>
      </c>
      <c r="E142" s="151">
        <v>3757</v>
      </c>
      <c r="F142" s="153"/>
    </row>
    <row r="143" spans="1:6" ht="25.5">
      <c r="A143" s="150" t="s">
        <v>90</v>
      </c>
      <c r="B143" s="151">
        <v>-111000</v>
      </c>
      <c r="C143" s="151">
        <v>-111000</v>
      </c>
      <c r="D143" s="151">
        <v>-73600</v>
      </c>
      <c r="E143" s="151">
        <v>-73600</v>
      </c>
      <c r="F143" s="153"/>
    </row>
    <row r="144" spans="1:6">
      <c r="A144" s="150" t="s">
        <v>1182</v>
      </c>
      <c r="B144" s="151">
        <v>5244</v>
      </c>
      <c r="C144" s="151">
        <v>5244</v>
      </c>
      <c r="D144" s="151">
        <v>5252</v>
      </c>
      <c r="E144" s="151">
        <v>5252</v>
      </c>
      <c r="F144" s="153"/>
    </row>
    <row r="145" spans="1:6">
      <c r="A145" s="150" t="s">
        <v>1224</v>
      </c>
      <c r="B145" s="151">
        <v>265.10000000000002</v>
      </c>
      <c r="C145" s="151">
        <v>265.10000000000002</v>
      </c>
      <c r="D145" s="151">
        <v>320.7</v>
      </c>
      <c r="E145" s="151">
        <v>320.7</v>
      </c>
      <c r="F145" s="153"/>
    </row>
    <row r="146" spans="1:6">
      <c r="A146" s="150" t="s">
        <v>91</v>
      </c>
      <c r="B146" s="151">
        <v>0</v>
      </c>
      <c r="C146" s="151">
        <v>0</v>
      </c>
      <c r="D146" s="151">
        <v>0</v>
      </c>
      <c r="E146" s="151">
        <v>0</v>
      </c>
      <c r="F146" s="153"/>
    </row>
    <row r="147" spans="1:6">
      <c r="A147" s="142" t="s">
        <v>646</v>
      </c>
      <c r="B147" s="143">
        <f>SUM(B135:B146)</f>
        <v>-84262.9</v>
      </c>
      <c r="C147" s="143">
        <f>SUM(C135:C146)</f>
        <v>-79712.899999999994</v>
      </c>
      <c r="D147" s="143">
        <f>SUM(D135:D146)</f>
        <v>-45649.3</v>
      </c>
      <c r="E147" s="143">
        <f>SUM(E135:E146)</f>
        <v>-41099.300000000003</v>
      </c>
      <c r="F147" s="172"/>
    </row>
    <row r="148" spans="1:6" ht="25.5">
      <c r="A148" s="150" t="s">
        <v>52</v>
      </c>
      <c r="B148" s="167">
        <v>-84400</v>
      </c>
      <c r="C148" s="151">
        <v>-79900</v>
      </c>
      <c r="D148" s="167">
        <v>-45400</v>
      </c>
      <c r="E148" s="167">
        <v>-40900</v>
      </c>
      <c r="F148" s="173"/>
    </row>
    <row r="149" spans="1:6">
      <c r="A149" s="165" t="s">
        <v>871</v>
      </c>
    </row>
    <row r="150" spans="1:6" ht="25.5">
      <c r="A150" s="150" t="s">
        <v>430</v>
      </c>
      <c r="B150" s="168" t="s">
        <v>445</v>
      </c>
      <c r="C150" s="168" t="s">
        <v>446</v>
      </c>
      <c r="D150" s="168" t="s">
        <v>447</v>
      </c>
      <c r="E150" s="168" t="s">
        <v>608</v>
      </c>
    </row>
    <row r="151" spans="1:6">
      <c r="A151" s="150" t="s">
        <v>108</v>
      </c>
      <c r="B151" s="170">
        <v>-0.78600000000000003</v>
      </c>
      <c r="C151" s="170">
        <v>-0.14399999999999999</v>
      </c>
      <c r="D151" s="170">
        <v>21.9</v>
      </c>
      <c r="E151" s="170">
        <v>22.5</v>
      </c>
    </row>
    <row r="152" spans="1:6" ht="25.5">
      <c r="A152" s="150" t="s">
        <v>109</v>
      </c>
      <c r="B152" s="170">
        <v>-2.81E-2</v>
      </c>
      <c r="C152" s="170">
        <v>-2.58E-2</v>
      </c>
      <c r="D152" s="170">
        <v>4.1599999999999996E-3</v>
      </c>
      <c r="E152" s="170">
        <v>6.4999999999999997E-3</v>
      </c>
    </row>
    <row r="153" spans="1:6" ht="25.5">
      <c r="A153" s="150" t="s">
        <v>1188</v>
      </c>
      <c r="B153" s="170">
        <v>-175</v>
      </c>
      <c r="C153" s="170">
        <v>-168</v>
      </c>
      <c r="D153" s="170">
        <v>-130</v>
      </c>
      <c r="E153" s="170">
        <v>-124</v>
      </c>
    </row>
    <row r="154" spans="1:6">
      <c r="A154" s="150" t="s">
        <v>1189</v>
      </c>
      <c r="B154" s="170">
        <v>-20.5</v>
      </c>
      <c r="C154" s="170">
        <v>-19.399999999999999</v>
      </c>
      <c r="D154" s="170">
        <v>-14.6</v>
      </c>
      <c r="E154" s="170">
        <v>-13.5</v>
      </c>
    </row>
    <row r="155" spans="1:6">
      <c r="A155" s="150" t="s">
        <v>107</v>
      </c>
      <c r="B155" s="170">
        <v>0.248</v>
      </c>
      <c r="C155" s="170">
        <v>0.48899999999999999</v>
      </c>
      <c r="D155" s="170">
        <v>0.35399999999999998</v>
      </c>
      <c r="E155" s="170">
        <v>0.59499999999999997</v>
      </c>
    </row>
    <row r="156" spans="1:6">
      <c r="A156" s="150" t="s">
        <v>1187</v>
      </c>
      <c r="B156" s="170">
        <v>3.77E-4</v>
      </c>
      <c r="C156" s="170">
        <v>1.09E-3</v>
      </c>
      <c r="D156" s="170">
        <v>2.8600000000000001E-3</v>
      </c>
      <c r="E156" s="170">
        <v>3.5699999999999998E-3</v>
      </c>
    </row>
    <row r="157" spans="1:6">
      <c r="A157" s="150" t="s">
        <v>1234</v>
      </c>
      <c r="B157" s="170">
        <v>-0.38700000000000001</v>
      </c>
      <c r="C157" s="170">
        <v>-9.6299999999999997E-2</v>
      </c>
      <c r="D157" s="170">
        <v>10.3</v>
      </c>
      <c r="E157" s="170">
        <v>10.6</v>
      </c>
    </row>
    <row r="158" spans="1:6" ht="25.5">
      <c r="A158" s="150" t="s">
        <v>1124</v>
      </c>
      <c r="B158" s="170">
        <v>-1.73</v>
      </c>
      <c r="C158" s="170">
        <v>-1.59</v>
      </c>
      <c r="D158" s="170">
        <v>-0.67300000000000004</v>
      </c>
      <c r="E158" s="170">
        <v>-0.53300000000000003</v>
      </c>
    </row>
    <row r="159" spans="1:6">
      <c r="A159" s="150" t="s">
        <v>1125</v>
      </c>
      <c r="B159" s="170">
        <v>-1.1499999999999999</v>
      </c>
      <c r="C159" s="170">
        <v>-0.91400000000000003</v>
      </c>
      <c r="D159" s="170">
        <v>-0.26300000000000001</v>
      </c>
      <c r="E159" s="170">
        <v>-3.0800000000000001E-2</v>
      </c>
    </row>
    <row r="160" spans="1:6">
      <c r="A160" s="150" t="s">
        <v>1237</v>
      </c>
      <c r="B160" s="170">
        <v>-2.67</v>
      </c>
      <c r="C160" s="170">
        <v>-2.4</v>
      </c>
      <c r="D160" s="170">
        <v>-24.8</v>
      </c>
      <c r="E160" s="170">
        <v>-24.5</v>
      </c>
    </row>
    <row r="161" spans="1:5">
      <c r="A161" s="150" t="s">
        <v>1238</v>
      </c>
      <c r="B161" s="170">
        <v>-20.3</v>
      </c>
      <c r="C161" s="170">
        <v>-16.5</v>
      </c>
      <c r="D161" s="170">
        <v>24.7</v>
      </c>
      <c r="E161" s="170">
        <v>28.5</v>
      </c>
    </row>
    <row r="162" spans="1:5">
      <c r="A162" s="165" t="s">
        <v>872</v>
      </c>
    </row>
    <row r="163" spans="1:5" ht="25.5">
      <c r="A163" s="150" t="s">
        <v>430</v>
      </c>
      <c r="B163" s="168" t="s">
        <v>445</v>
      </c>
      <c r="C163" s="168" t="s">
        <v>446</v>
      </c>
      <c r="D163" s="168" t="s">
        <v>447</v>
      </c>
      <c r="E163" s="168" t="s">
        <v>608</v>
      </c>
    </row>
    <row r="164" spans="1:5">
      <c r="A164" s="150" t="s">
        <v>108</v>
      </c>
      <c r="B164" s="151">
        <v>-314</v>
      </c>
      <c r="C164" s="151">
        <v>-57.7</v>
      </c>
      <c r="D164" s="151">
        <v>8740</v>
      </c>
      <c r="E164" s="151">
        <v>9000</v>
      </c>
    </row>
    <row r="165" spans="1:5" ht="25.5">
      <c r="A165" s="150" t="s">
        <v>109</v>
      </c>
      <c r="B165" s="150">
        <v>-11.2</v>
      </c>
      <c r="C165" s="150">
        <v>-10.3</v>
      </c>
      <c r="D165" s="150">
        <v>1.66</v>
      </c>
      <c r="E165" s="150">
        <v>2.6</v>
      </c>
    </row>
    <row r="166" spans="1:5" ht="25.5">
      <c r="A166" s="150" t="s">
        <v>1188</v>
      </c>
      <c r="B166" s="151">
        <v>-70100</v>
      </c>
      <c r="C166" s="151">
        <v>-67400</v>
      </c>
      <c r="D166" s="151">
        <v>-52200</v>
      </c>
      <c r="E166" s="151">
        <v>-49500</v>
      </c>
    </row>
    <row r="167" spans="1:5">
      <c r="A167" s="150" t="s">
        <v>1189</v>
      </c>
      <c r="B167" s="151">
        <v>-8210</v>
      </c>
      <c r="C167" s="151">
        <v>-7770</v>
      </c>
      <c r="D167" s="151">
        <v>-5830</v>
      </c>
      <c r="E167" s="159">
        <v>-5390</v>
      </c>
    </row>
    <row r="168" spans="1:5">
      <c r="A168" s="150" t="s">
        <v>107</v>
      </c>
      <c r="B168" s="151">
        <v>99</v>
      </c>
      <c r="C168" s="151">
        <v>196</v>
      </c>
      <c r="D168" s="151">
        <v>142</v>
      </c>
      <c r="E168" s="151">
        <v>238</v>
      </c>
    </row>
    <row r="169" spans="1:5">
      <c r="A169" s="150" t="s">
        <v>1187</v>
      </c>
      <c r="B169" s="150">
        <v>0.151</v>
      </c>
      <c r="C169" s="190">
        <v>0.437</v>
      </c>
      <c r="D169" s="150">
        <v>1.1399999999999999</v>
      </c>
      <c r="E169" s="151">
        <v>1.43</v>
      </c>
    </row>
    <row r="170" spans="1:5">
      <c r="A170" s="150" t="s">
        <v>1234</v>
      </c>
      <c r="B170" s="151">
        <v>-155</v>
      </c>
      <c r="C170" s="150">
        <v>-38.5</v>
      </c>
      <c r="D170" s="151">
        <v>4110</v>
      </c>
      <c r="E170" s="151">
        <v>4230</v>
      </c>
    </row>
    <row r="171" spans="1:5" ht="25.5">
      <c r="A171" s="150" t="s">
        <v>1124</v>
      </c>
      <c r="B171" s="151">
        <v>-691</v>
      </c>
      <c r="C171" s="151">
        <v>-635</v>
      </c>
      <c r="D171" s="151">
        <v>-269</v>
      </c>
      <c r="E171" s="151">
        <v>-213</v>
      </c>
    </row>
    <row r="172" spans="1:5">
      <c r="A172" s="150" t="s">
        <v>1125</v>
      </c>
      <c r="B172" s="151">
        <v>-459</v>
      </c>
      <c r="C172" s="151">
        <v>-366</v>
      </c>
      <c r="D172" s="151">
        <v>-105</v>
      </c>
      <c r="E172" s="151">
        <v>-12.3</v>
      </c>
    </row>
    <row r="173" spans="1:5">
      <c r="A173" s="150" t="s">
        <v>1237</v>
      </c>
      <c r="B173" s="151">
        <v>-533</v>
      </c>
      <c r="C173" s="151">
        <v>-479</v>
      </c>
      <c r="D173" s="151">
        <v>-4960</v>
      </c>
      <c r="E173" s="151">
        <v>-4900</v>
      </c>
    </row>
    <row r="174" spans="1:5">
      <c r="A174" s="150" t="s">
        <v>1238</v>
      </c>
      <c r="B174" s="151">
        <v>-4060</v>
      </c>
      <c r="C174" s="151">
        <v>-3300</v>
      </c>
      <c r="D174" s="151">
        <v>4940</v>
      </c>
      <c r="E174" s="151">
        <v>5690</v>
      </c>
    </row>
    <row r="175" spans="1:5">
      <c r="A175" s="142" t="s">
        <v>646</v>
      </c>
      <c r="B175" s="143">
        <f>SUM(B164:B174)</f>
        <v>-84434.048999999999</v>
      </c>
      <c r="C175" s="143">
        <f>SUM(C164:C174)</f>
        <v>-79860.062999999995</v>
      </c>
      <c r="D175" s="143">
        <f>SUM(D164:D174)</f>
        <v>-45429.2</v>
      </c>
      <c r="E175" s="143">
        <f>SUM(E164:E174)</f>
        <v>-40853.270000000004</v>
      </c>
    </row>
    <row r="176" spans="1:5" ht="25.5">
      <c r="A176" s="150" t="s">
        <v>52</v>
      </c>
      <c r="B176" s="167">
        <v>-84400</v>
      </c>
      <c r="C176" s="151">
        <v>-79900</v>
      </c>
      <c r="D176" s="167">
        <v>-45400</v>
      </c>
      <c r="E176" s="167">
        <v>-40900</v>
      </c>
    </row>
    <row r="177" spans="1:5">
      <c r="A177" s="165" t="s">
        <v>873</v>
      </c>
    </row>
    <row r="178" spans="1:5" ht="25.5">
      <c r="A178" s="150" t="s">
        <v>1218</v>
      </c>
      <c r="B178" s="168" t="s">
        <v>674</v>
      </c>
      <c r="C178" s="168" t="s">
        <v>874</v>
      </c>
      <c r="D178" s="168" t="s">
        <v>875</v>
      </c>
      <c r="E178" s="168" t="s">
        <v>876</v>
      </c>
    </row>
    <row r="179" spans="1:5">
      <c r="A179" s="150" t="s">
        <v>8</v>
      </c>
      <c r="B179" s="151">
        <v>0</v>
      </c>
      <c r="C179" s="151">
        <v>0</v>
      </c>
      <c r="D179" s="151">
        <v>0</v>
      </c>
      <c r="E179" s="151">
        <v>0</v>
      </c>
    </row>
    <row r="180" spans="1:5">
      <c r="A180" s="150" t="s">
        <v>78</v>
      </c>
      <c r="B180" s="151">
        <v>17600</v>
      </c>
      <c r="C180" s="151">
        <v>17600</v>
      </c>
      <c r="D180" s="151">
        <v>24100</v>
      </c>
      <c r="E180" s="151">
        <v>24100</v>
      </c>
    </row>
    <row r="181" spans="1:5" ht="25.5">
      <c r="A181" s="150" t="s">
        <v>79</v>
      </c>
      <c r="B181" s="151">
        <v>1760</v>
      </c>
      <c r="C181" s="151">
        <v>1760</v>
      </c>
      <c r="D181" s="151">
        <v>22100</v>
      </c>
      <c r="E181" s="151">
        <v>22100</v>
      </c>
    </row>
    <row r="182" spans="1:5">
      <c r="A182" s="162" t="s">
        <v>86</v>
      </c>
      <c r="B182" s="151">
        <v>80.62</v>
      </c>
      <c r="C182" s="151">
        <v>80.62</v>
      </c>
      <c r="D182" s="151">
        <v>87.2</v>
      </c>
      <c r="E182" s="151">
        <v>87.2</v>
      </c>
    </row>
    <row r="183" spans="1:5">
      <c r="A183" s="150" t="s">
        <v>11</v>
      </c>
      <c r="B183" s="151">
        <v>0</v>
      </c>
      <c r="C183" s="151">
        <v>0</v>
      </c>
      <c r="D183" s="151">
        <v>0</v>
      </c>
      <c r="E183" s="151">
        <v>0</v>
      </c>
    </row>
    <row r="184" spans="1:5">
      <c r="A184" s="150" t="s">
        <v>87</v>
      </c>
      <c r="B184" s="151">
        <v>3234</v>
      </c>
      <c r="C184" s="151">
        <v>11040</v>
      </c>
      <c r="D184" s="151">
        <v>3234</v>
      </c>
      <c r="E184" s="151">
        <v>11040</v>
      </c>
    </row>
    <row r="185" spans="1:5">
      <c r="A185" s="150" t="s">
        <v>88</v>
      </c>
      <c r="B185" s="151">
        <v>0</v>
      </c>
      <c r="C185" s="151">
        <v>0</v>
      </c>
      <c r="D185" s="151">
        <v>0</v>
      </c>
      <c r="E185" s="151">
        <v>0</v>
      </c>
    </row>
    <row r="186" spans="1:5" ht="25.5">
      <c r="A186" s="150" t="s">
        <v>89</v>
      </c>
      <c r="B186" s="151">
        <v>0</v>
      </c>
      <c r="C186" s="151">
        <v>0</v>
      </c>
      <c r="D186" s="151">
        <v>0</v>
      </c>
      <c r="E186" s="151">
        <v>0</v>
      </c>
    </row>
    <row r="187" spans="1:5" ht="25.5">
      <c r="A187" s="150" t="s">
        <v>90</v>
      </c>
      <c r="B187" s="151">
        <v>0</v>
      </c>
      <c r="C187" s="151">
        <v>0</v>
      </c>
      <c r="D187" s="151">
        <v>0</v>
      </c>
      <c r="E187" s="151">
        <v>0</v>
      </c>
    </row>
    <row r="188" spans="1:5">
      <c r="A188" s="150" t="s">
        <v>1182</v>
      </c>
      <c r="B188" s="151">
        <v>91800</v>
      </c>
      <c r="C188" s="151">
        <v>91800</v>
      </c>
      <c r="D188" s="151">
        <v>125500</v>
      </c>
      <c r="E188" s="151">
        <v>125500</v>
      </c>
    </row>
    <row r="189" spans="1:5">
      <c r="A189" s="150" t="s">
        <v>1224</v>
      </c>
      <c r="B189" s="151">
        <v>2555</v>
      </c>
      <c r="C189" s="151">
        <v>2555</v>
      </c>
      <c r="D189" s="151">
        <v>4264</v>
      </c>
      <c r="E189" s="151">
        <v>4264</v>
      </c>
    </row>
    <row r="190" spans="1:5">
      <c r="A190" s="150" t="s">
        <v>91</v>
      </c>
      <c r="B190" s="151">
        <v>0</v>
      </c>
      <c r="C190" s="151">
        <v>0</v>
      </c>
      <c r="D190" s="151">
        <v>0</v>
      </c>
      <c r="E190" s="151">
        <v>0</v>
      </c>
    </row>
    <row r="191" spans="1:5">
      <c r="A191" s="142" t="s">
        <v>646</v>
      </c>
      <c r="B191" s="143">
        <f>SUM(B179:B190)</f>
        <v>117029.62</v>
      </c>
      <c r="C191" s="143">
        <f>SUM(C179:C190)</f>
        <v>124835.62</v>
      </c>
      <c r="D191" s="143">
        <f>SUM(D179:D190)</f>
        <v>179285.2</v>
      </c>
      <c r="E191" s="143">
        <f>SUM(E179:E190)</f>
        <v>187091.20000000001</v>
      </c>
    </row>
    <row r="192" spans="1:5" ht="25.5">
      <c r="A192" s="150" t="s">
        <v>52</v>
      </c>
      <c r="B192" s="167">
        <v>117000</v>
      </c>
      <c r="C192" s="151">
        <v>125000</v>
      </c>
      <c r="D192" s="167">
        <v>180000</v>
      </c>
      <c r="E192" s="167">
        <v>187000</v>
      </c>
    </row>
    <row r="193" spans="1:5">
      <c r="A193" s="165" t="s">
        <v>757</v>
      </c>
    </row>
    <row r="194" spans="1:5" ht="25.5">
      <c r="A194" s="150" t="s">
        <v>430</v>
      </c>
      <c r="B194" s="168" t="s">
        <v>674</v>
      </c>
      <c r="C194" s="168" t="s">
        <v>874</v>
      </c>
      <c r="D194" s="168" t="s">
        <v>875</v>
      </c>
      <c r="E194" s="168" t="s">
        <v>876</v>
      </c>
    </row>
    <row r="195" spans="1:5">
      <c r="A195" s="150" t="s">
        <v>108</v>
      </c>
      <c r="B195" s="170">
        <v>19.899999999999999</v>
      </c>
      <c r="C195" s="170">
        <v>20.9</v>
      </c>
      <c r="D195" s="170">
        <v>29.3</v>
      </c>
      <c r="E195" s="170">
        <v>30.2</v>
      </c>
    </row>
    <row r="196" spans="1:5" ht="25.5">
      <c r="A196" s="150" t="s">
        <v>109</v>
      </c>
      <c r="B196" s="170">
        <v>0.109</v>
      </c>
      <c r="C196" s="170">
        <v>0.113</v>
      </c>
      <c r="D196" s="170">
        <v>0.17</v>
      </c>
      <c r="E196" s="170">
        <v>0.17499999999999999</v>
      </c>
    </row>
    <row r="197" spans="1:5" ht="25.5">
      <c r="A197" s="150" t="s">
        <v>1188</v>
      </c>
      <c r="B197" s="170">
        <v>132</v>
      </c>
      <c r="C197" s="170">
        <v>140</v>
      </c>
      <c r="D197" s="170">
        <v>197</v>
      </c>
      <c r="E197" s="170">
        <v>205</v>
      </c>
    </row>
    <row r="198" spans="1:5">
      <c r="A198" s="150" t="s">
        <v>1189</v>
      </c>
      <c r="B198" s="170">
        <v>34.5</v>
      </c>
      <c r="C198" s="170">
        <v>36.799999999999997</v>
      </c>
      <c r="D198" s="170">
        <v>53.3</v>
      </c>
      <c r="E198" s="170">
        <v>55.6</v>
      </c>
    </row>
    <row r="199" spans="1:5">
      <c r="A199" s="150" t="s">
        <v>107</v>
      </c>
      <c r="B199" s="170">
        <v>0.59</v>
      </c>
      <c r="C199" s="170">
        <v>0.63300000000000001</v>
      </c>
      <c r="D199" s="170">
        <v>0.88600000000000001</v>
      </c>
      <c r="E199" s="170">
        <v>0.92900000000000005</v>
      </c>
    </row>
    <row r="200" spans="1:5">
      <c r="A200" s="150" t="s">
        <v>1187</v>
      </c>
      <c r="B200" s="170">
        <v>8.4899999999999993E-3</v>
      </c>
      <c r="C200" s="170">
        <v>9.0600000000000003E-3</v>
      </c>
      <c r="D200" s="170">
        <v>1.3899999999999999E-2</v>
      </c>
      <c r="E200" s="170">
        <v>1.4500000000000001E-2</v>
      </c>
    </row>
    <row r="201" spans="1:5">
      <c r="A201" s="150" t="s">
        <v>1234</v>
      </c>
      <c r="B201" s="170">
        <v>12.7</v>
      </c>
      <c r="C201" s="170">
        <v>13.8</v>
      </c>
      <c r="D201" s="170">
        <v>20.2</v>
      </c>
      <c r="E201" s="170">
        <v>21.3</v>
      </c>
    </row>
    <row r="202" spans="1:5" ht="25.5">
      <c r="A202" s="150" t="s">
        <v>1124</v>
      </c>
      <c r="B202" s="170">
        <v>3.96</v>
      </c>
      <c r="C202" s="170">
        <v>4.2</v>
      </c>
      <c r="D202" s="170">
        <v>5.95</v>
      </c>
      <c r="E202" s="170">
        <v>6.19</v>
      </c>
    </row>
    <row r="203" spans="1:5">
      <c r="A203" s="150" t="s">
        <v>1125</v>
      </c>
      <c r="B203" s="170">
        <v>6.45</v>
      </c>
      <c r="C203" s="170">
        <v>6.79</v>
      </c>
      <c r="D203" s="170">
        <v>9.7100000000000009</v>
      </c>
      <c r="E203" s="170">
        <v>10</v>
      </c>
    </row>
    <row r="204" spans="1:5">
      <c r="A204" s="150" t="s">
        <v>1237</v>
      </c>
      <c r="B204" s="170">
        <v>42.5</v>
      </c>
      <c r="C204" s="170">
        <v>44.9</v>
      </c>
      <c r="D204" s="170">
        <v>63.6</v>
      </c>
      <c r="E204" s="170">
        <v>66</v>
      </c>
    </row>
    <row r="205" spans="1:5">
      <c r="A205" s="150" t="s">
        <v>1238</v>
      </c>
      <c r="B205" s="170">
        <v>122</v>
      </c>
      <c r="C205" s="170">
        <v>132</v>
      </c>
      <c r="D205" s="170">
        <v>203</v>
      </c>
      <c r="E205" s="170">
        <v>213</v>
      </c>
    </row>
    <row r="206" spans="1:5">
      <c r="A206" s="165" t="s">
        <v>758</v>
      </c>
    </row>
    <row r="207" spans="1:5" ht="25.5">
      <c r="A207" s="150" t="s">
        <v>430</v>
      </c>
      <c r="B207" s="168" t="s">
        <v>674</v>
      </c>
      <c r="C207" s="168" t="s">
        <v>874</v>
      </c>
      <c r="D207" s="168" t="s">
        <v>875</v>
      </c>
      <c r="E207" s="168" t="s">
        <v>876</v>
      </c>
    </row>
    <row r="208" spans="1:5">
      <c r="A208" s="150" t="s">
        <v>108</v>
      </c>
      <c r="B208" s="151">
        <v>7950</v>
      </c>
      <c r="C208" s="151">
        <v>8350</v>
      </c>
      <c r="D208" s="151">
        <v>11700</v>
      </c>
      <c r="E208" s="151">
        <v>12100</v>
      </c>
    </row>
    <row r="209" spans="1:5" ht="25.5">
      <c r="A209" s="150" t="s">
        <v>109</v>
      </c>
      <c r="B209" s="150">
        <v>43.5</v>
      </c>
      <c r="C209" s="150">
        <v>45.4</v>
      </c>
      <c r="D209" s="150">
        <v>67.900000000000006</v>
      </c>
      <c r="E209" s="150">
        <v>69.8</v>
      </c>
    </row>
    <row r="210" spans="1:5" ht="25.5">
      <c r="A210" s="150" t="s">
        <v>1188</v>
      </c>
      <c r="B210" s="151">
        <v>52900</v>
      </c>
      <c r="C210" s="151">
        <v>56100</v>
      </c>
      <c r="D210" s="151">
        <v>78600</v>
      </c>
      <c r="E210" s="151">
        <v>81800</v>
      </c>
    </row>
    <row r="211" spans="1:5">
      <c r="A211" s="150" t="s">
        <v>1189</v>
      </c>
      <c r="B211" s="151">
        <v>13800</v>
      </c>
      <c r="C211" s="151">
        <v>14700</v>
      </c>
      <c r="D211" s="151">
        <v>21300</v>
      </c>
      <c r="E211" s="159">
        <v>22200</v>
      </c>
    </row>
    <row r="212" spans="1:5">
      <c r="A212" s="150" t="s">
        <v>107</v>
      </c>
      <c r="B212" s="151">
        <v>236</v>
      </c>
      <c r="C212" s="151">
        <v>253</v>
      </c>
      <c r="D212" s="151">
        <v>354</v>
      </c>
      <c r="E212" s="151">
        <v>372</v>
      </c>
    </row>
    <row r="213" spans="1:5">
      <c r="A213" s="150" t="s">
        <v>1187</v>
      </c>
      <c r="B213" s="150">
        <v>3.4</v>
      </c>
      <c r="C213" s="190">
        <v>3.62</v>
      </c>
      <c r="D213" s="150">
        <v>5.58</v>
      </c>
      <c r="E213" s="151">
        <v>5.8</v>
      </c>
    </row>
    <row r="214" spans="1:5">
      <c r="A214" s="150" t="s">
        <v>1234</v>
      </c>
      <c r="B214" s="151">
        <v>5080</v>
      </c>
      <c r="C214" s="151">
        <v>5520</v>
      </c>
      <c r="D214" s="151">
        <v>8090</v>
      </c>
      <c r="E214" s="151">
        <v>8530</v>
      </c>
    </row>
    <row r="215" spans="1:5" ht="25.5">
      <c r="A215" s="150" t="s">
        <v>1124</v>
      </c>
      <c r="B215" s="151">
        <v>1590</v>
      </c>
      <c r="C215" s="151">
        <v>1680</v>
      </c>
      <c r="D215" s="151">
        <v>2380</v>
      </c>
      <c r="E215" s="151">
        <v>2470</v>
      </c>
    </row>
    <row r="216" spans="1:5">
      <c r="A216" s="150" t="s">
        <v>1125</v>
      </c>
      <c r="B216" s="151">
        <v>2580</v>
      </c>
      <c r="C216" s="151">
        <v>2720</v>
      </c>
      <c r="D216" s="151">
        <v>3880</v>
      </c>
      <c r="E216" s="151">
        <v>4020</v>
      </c>
    </row>
    <row r="217" spans="1:5">
      <c r="A217" s="150" t="s">
        <v>1237</v>
      </c>
      <c r="B217" s="151">
        <v>8500</v>
      </c>
      <c r="C217" s="151">
        <v>8970</v>
      </c>
      <c r="D217" s="151">
        <v>12700</v>
      </c>
      <c r="E217" s="151">
        <v>13200</v>
      </c>
    </row>
    <row r="218" spans="1:5">
      <c r="A218" s="150" t="s">
        <v>1238</v>
      </c>
      <c r="B218" s="151">
        <v>24400</v>
      </c>
      <c r="C218" s="151">
        <v>26400</v>
      </c>
      <c r="D218" s="151">
        <v>40600</v>
      </c>
      <c r="E218" s="151">
        <v>42600</v>
      </c>
    </row>
    <row r="219" spans="1:5">
      <c r="A219" s="142" t="s">
        <v>646</v>
      </c>
      <c r="B219" s="143">
        <f>SUM(B208:B218)</f>
        <v>117082.9</v>
      </c>
      <c r="C219" s="143">
        <f>SUM(C208:C218)</f>
        <v>124742.01999999999</v>
      </c>
      <c r="D219" s="143">
        <f>SUM(D208:D218)</f>
        <v>179677.47999999998</v>
      </c>
      <c r="E219" s="143">
        <f>SUM(E208:E218)</f>
        <v>187367.6</v>
      </c>
    </row>
    <row r="220" spans="1:5" ht="25.5">
      <c r="A220" s="150" t="s">
        <v>52</v>
      </c>
      <c r="B220" s="167">
        <v>117000</v>
      </c>
      <c r="C220" s="151">
        <v>125000</v>
      </c>
      <c r="D220" s="167">
        <v>180000</v>
      </c>
      <c r="E220" s="167">
        <v>187000</v>
      </c>
    </row>
    <row r="221" spans="1:5">
      <c r="A221" s="165" t="s">
        <v>759</v>
      </c>
    </row>
    <row r="222" spans="1:5" ht="25.5">
      <c r="A222" s="150" t="s">
        <v>1218</v>
      </c>
      <c r="B222" s="168" t="s">
        <v>674</v>
      </c>
      <c r="C222" s="168" t="s">
        <v>675</v>
      </c>
      <c r="D222" s="168" t="s">
        <v>875</v>
      </c>
      <c r="E222" s="168" t="s">
        <v>437</v>
      </c>
    </row>
    <row r="223" spans="1:5">
      <c r="A223" s="150" t="s">
        <v>8</v>
      </c>
      <c r="B223" s="151">
        <v>0</v>
      </c>
      <c r="C223" s="151">
        <v>0</v>
      </c>
      <c r="D223" s="151">
        <v>0</v>
      </c>
      <c r="E223" s="151">
        <v>0</v>
      </c>
    </row>
    <row r="224" spans="1:5">
      <c r="A224" s="150" t="s">
        <v>78</v>
      </c>
      <c r="B224" s="151">
        <v>17600</v>
      </c>
      <c r="C224" s="151">
        <v>17600</v>
      </c>
      <c r="D224" s="151">
        <v>24100</v>
      </c>
      <c r="E224" s="151">
        <v>24100</v>
      </c>
    </row>
    <row r="225" spans="1:5" ht="25.5">
      <c r="A225" s="150" t="s">
        <v>79</v>
      </c>
      <c r="B225" s="151">
        <v>1760</v>
      </c>
      <c r="C225" s="151">
        <v>1760</v>
      </c>
      <c r="D225" s="151">
        <v>22100</v>
      </c>
      <c r="E225" s="151">
        <v>22100</v>
      </c>
    </row>
    <row r="226" spans="1:5">
      <c r="A226" s="162" t="s">
        <v>86</v>
      </c>
      <c r="B226" s="151">
        <v>80.62</v>
      </c>
      <c r="C226" s="151">
        <v>80.62</v>
      </c>
      <c r="D226" s="151">
        <v>87.2</v>
      </c>
      <c r="E226" s="151">
        <v>87.2</v>
      </c>
    </row>
    <row r="227" spans="1:5">
      <c r="A227" s="150" t="s">
        <v>11</v>
      </c>
      <c r="B227" s="151">
        <v>0</v>
      </c>
      <c r="C227" s="151">
        <v>0</v>
      </c>
      <c r="D227" s="151">
        <v>0</v>
      </c>
      <c r="E227" s="151">
        <v>0</v>
      </c>
    </row>
    <row r="228" spans="1:5">
      <c r="A228" s="150" t="s">
        <v>87</v>
      </c>
      <c r="B228" s="151">
        <v>3234</v>
      </c>
      <c r="C228" s="151">
        <v>4830</v>
      </c>
      <c r="D228" s="151">
        <v>3234</v>
      </c>
      <c r="E228" s="151">
        <v>4830</v>
      </c>
    </row>
    <row r="229" spans="1:5">
      <c r="A229" s="150" t="s">
        <v>88</v>
      </c>
      <c r="B229" s="151">
        <v>0</v>
      </c>
      <c r="C229" s="151">
        <v>0</v>
      </c>
      <c r="D229" s="151">
        <v>0</v>
      </c>
      <c r="E229" s="151">
        <v>0</v>
      </c>
    </row>
    <row r="230" spans="1:5" ht="25.5">
      <c r="A230" s="150" t="s">
        <v>89</v>
      </c>
      <c r="B230" s="151">
        <v>0</v>
      </c>
      <c r="C230" s="151">
        <v>0</v>
      </c>
      <c r="D230" s="151">
        <v>0</v>
      </c>
      <c r="E230" s="151">
        <v>0</v>
      </c>
    </row>
    <row r="231" spans="1:5" ht="25.5">
      <c r="A231" s="150" t="s">
        <v>90</v>
      </c>
      <c r="B231" s="151">
        <v>0</v>
      </c>
      <c r="C231" s="151">
        <v>0</v>
      </c>
      <c r="D231" s="151">
        <v>0</v>
      </c>
      <c r="E231" s="151">
        <v>0</v>
      </c>
    </row>
    <row r="232" spans="1:5">
      <c r="A232" s="150" t="s">
        <v>1182</v>
      </c>
      <c r="B232" s="151">
        <v>91800</v>
      </c>
      <c r="C232" s="151">
        <v>91800</v>
      </c>
      <c r="D232" s="151">
        <v>125500</v>
      </c>
      <c r="E232" s="151">
        <v>125500</v>
      </c>
    </row>
    <row r="233" spans="1:5">
      <c r="A233" s="150" t="s">
        <v>1224</v>
      </c>
      <c r="B233" s="151">
        <v>2555</v>
      </c>
      <c r="C233" s="151">
        <v>2555</v>
      </c>
      <c r="D233" s="151">
        <v>4264</v>
      </c>
      <c r="E233" s="151">
        <v>4264</v>
      </c>
    </row>
    <row r="234" spans="1:5">
      <c r="A234" s="150" t="s">
        <v>91</v>
      </c>
      <c r="B234" s="151">
        <v>0</v>
      </c>
      <c r="C234" s="151">
        <v>0</v>
      </c>
      <c r="D234" s="151">
        <v>0</v>
      </c>
      <c r="E234" s="151">
        <v>0</v>
      </c>
    </row>
    <row r="235" spans="1:5">
      <c r="A235" s="142" t="s">
        <v>646</v>
      </c>
      <c r="B235" s="143">
        <f>SUM(B223:B234)</f>
        <v>117029.62</v>
      </c>
      <c r="C235" s="143">
        <f>SUM(C223:C234)</f>
        <v>118625.62</v>
      </c>
      <c r="D235" s="143">
        <f>SUM(D223:D234)</f>
        <v>179285.2</v>
      </c>
      <c r="E235" s="143">
        <f>SUM(E223:E234)</f>
        <v>180881.2</v>
      </c>
    </row>
    <row r="236" spans="1:5" ht="25.5">
      <c r="A236" s="150" t="s">
        <v>52</v>
      </c>
      <c r="B236" s="167">
        <v>117000</v>
      </c>
      <c r="C236" s="151">
        <v>119000</v>
      </c>
      <c r="D236" s="167">
        <v>180000</v>
      </c>
      <c r="E236" s="167">
        <v>181000</v>
      </c>
    </row>
    <row r="237" spans="1:5">
      <c r="A237" s="165" t="s">
        <v>760</v>
      </c>
    </row>
    <row r="238" spans="1:5" ht="25.5">
      <c r="A238" s="150" t="s">
        <v>430</v>
      </c>
      <c r="B238" s="168" t="s">
        <v>674</v>
      </c>
      <c r="C238" s="168" t="s">
        <v>675</v>
      </c>
      <c r="D238" s="168" t="s">
        <v>875</v>
      </c>
      <c r="E238" s="168" t="s">
        <v>437</v>
      </c>
    </row>
    <row r="239" spans="1:5">
      <c r="A239" s="150" t="s">
        <v>108</v>
      </c>
      <c r="B239" s="170">
        <v>19.899999999999999</v>
      </c>
      <c r="C239" s="170">
        <v>20.9</v>
      </c>
      <c r="D239" s="170">
        <v>29.3</v>
      </c>
      <c r="E239" s="170">
        <v>29.5</v>
      </c>
    </row>
    <row r="240" spans="1:5" ht="25.5">
      <c r="A240" s="150" t="s">
        <v>109</v>
      </c>
      <c r="B240" s="170">
        <v>0.109</v>
      </c>
      <c r="C240" s="170">
        <v>0.113</v>
      </c>
      <c r="D240" s="170">
        <v>0.17</v>
      </c>
      <c r="E240" s="170">
        <v>0.17100000000000001</v>
      </c>
    </row>
    <row r="241" spans="1:5" ht="25.5">
      <c r="A241" s="150" t="s">
        <v>1188</v>
      </c>
      <c r="B241" s="170">
        <v>132</v>
      </c>
      <c r="C241" s="170">
        <v>134</v>
      </c>
      <c r="D241" s="170">
        <v>197</v>
      </c>
      <c r="E241" s="170">
        <v>198</v>
      </c>
    </row>
    <row r="242" spans="1:5">
      <c r="A242" s="150" t="s">
        <v>1189</v>
      </c>
      <c r="B242" s="170">
        <v>34.5</v>
      </c>
      <c r="C242" s="170">
        <v>34.799999999999997</v>
      </c>
      <c r="D242" s="170">
        <v>53.3</v>
      </c>
      <c r="E242" s="170">
        <v>53.7</v>
      </c>
    </row>
    <row r="243" spans="1:5">
      <c r="A243" s="150" t="s">
        <v>107</v>
      </c>
      <c r="B243" s="170">
        <v>0.59</v>
      </c>
      <c r="C243" s="170">
        <v>0.59259200000000001</v>
      </c>
      <c r="D243" s="170">
        <v>0.88600000000000001</v>
      </c>
      <c r="E243" s="170">
        <v>0.88800000000000001</v>
      </c>
    </row>
    <row r="244" spans="1:5">
      <c r="A244" s="150" t="s">
        <v>1187</v>
      </c>
      <c r="B244" s="170">
        <v>8.4899999999999993E-3</v>
      </c>
      <c r="C244" s="170">
        <v>0.85899999999999999</v>
      </c>
      <c r="D244" s="170">
        <v>1.3899999999999999E-2</v>
      </c>
      <c r="E244" s="170">
        <v>1.4E-2</v>
      </c>
    </row>
    <row r="245" spans="1:5">
      <c r="A245" s="150" t="s">
        <v>1234</v>
      </c>
      <c r="B245" s="170">
        <v>12.7</v>
      </c>
      <c r="C245" s="170">
        <v>13</v>
      </c>
      <c r="D245" s="170">
        <v>20.2</v>
      </c>
      <c r="E245" s="170">
        <v>20.5</v>
      </c>
    </row>
    <row r="246" spans="1:5" ht="25.5">
      <c r="A246" s="150" t="s">
        <v>1124</v>
      </c>
      <c r="B246" s="170">
        <v>3.96</v>
      </c>
      <c r="C246" s="170">
        <v>4</v>
      </c>
      <c r="D246" s="170">
        <v>5.95</v>
      </c>
      <c r="E246" s="170">
        <v>5.99</v>
      </c>
    </row>
    <row r="247" spans="1:5">
      <c r="A247" s="150" t="s">
        <v>1125</v>
      </c>
      <c r="B247" s="170">
        <v>6.45</v>
      </c>
      <c r="C247" s="170">
        <v>6.55</v>
      </c>
      <c r="D247" s="170">
        <v>9.7100000000000009</v>
      </c>
      <c r="E247" s="170">
        <v>9.81</v>
      </c>
    </row>
    <row r="248" spans="1:5">
      <c r="A248" s="150" t="s">
        <v>1237</v>
      </c>
      <c r="B248" s="170">
        <v>42.5</v>
      </c>
      <c r="C248" s="170">
        <v>43.3</v>
      </c>
      <c r="D248" s="170">
        <v>63.6</v>
      </c>
      <c r="E248" s="170">
        <v>64.400000000000006</v>
      </c>
    </row>
    <row r="249" spans="1:5">
      <c r="A249" s="150" t="s">
        <v>1238</v>
      </c>
      <c r="B249" s="170">
        <v>122</v>
      </c>
      <c r="C249" s="170">
        <v>12.4</v>
      </c>
      <c r="D249" s="170">
        <v>203</v>
      </c>
      <c r="E249" s="170">
        <v>205</v>
      </c>
    </row>
    <row r="250" spans="1:5">
      <c r="A250" s="165" t="s">
        <v>654</v>
      </c>
    </row>
    <row r="251" spans="1:5" ht="25.5">
      <c r="A251" s="150" t="s">
        <v>430</v>
      </c>
      <c r="B251" s="168" t="s">
        <v>674</v>
      </c>
      <c r="C251" s="168" t="s">
        <v>675</v>
      </c>
      <c r="D251" s="168" t="s">
        <v>875</v>
      </c>
      <c r="E251" s="168" t="s">
        <v>437</v>
      </c>
    </row>
    <row r="252" spans="1:5">
      <c r="A252" s="150" t="s">
        <v>108</v>
      </c>
      <c r="B252" s="151">
        <v>7950</v>
      </c>
      <c r="C252" s="151">
        <v>8020</v>
      </c>
      <c r="D252" s="151">
        <v>11700</v>
      </c>
      <c r="E252" s="151">
        <v>11800</v>
      </c>
    </row>
    <row r="253" spans="1:5" ht="25.5">
      <c r="A253" s="150" t="s">
        <v>109</v>
      </c>
      <c r="B253" s="150">
        <v>43.5</v>
      </c>
      <c r="C253" s="150">
        <v>43.9</v>
      </c>
      <c r="D253" s="150">
        <v>67.900000000000006</v>
      </c>
      <c r="E253" s="150">
        <v>68.400000000000006</v>
      </c>
    </row>
    <row r="254" spans="1:5" ht="25.5">
      <c r="A254" s="150" t="s">
        <v>1188</v>
      </c>
      <c r="B254" s="151">
        <v>52900</v>
      </c>
      <c r="C254" s="151">
        <v>53500</v>
      </c>
      <c r="D254" s="151">
        <v>78600</v>
      </c>
      <c r="E254" s="151">
        <v>79300</v>
      </c>
    </row>
    <row r="255" spans="1:5">
      <c r="A255" s="150" t="s">
        <v>1189</v>
      </c>
      <c r="B255" s="151">
        <v>13800</v>
      </c>
      <c r="C255" s="151">
        <v>13900</v>
      </c>
      <c r="D255" s="151">
        <v>21300</v>
      </c>
      <c r="E255" s="159">
        <v>21500</v>
      </c>
    </row>
    <row r="256" spans="1:5">
      <c r="A256" s="150" t="s">
        <v>107</v>
      </c>
      <c r="B256" s="151">
        <v>236</v>
      </c>
      <c r="C256" s="151">
        <v>237</v>
      </c>
      <c r="D256" s="151">
        <v>354</v>
      </c>
      <c r="E256" s="151">
        <v>355</v>
      </c>
    </row>
    <row r="257" spans="1:6">
      <c r="A257" s="150" t="s">
        <v>1187</v>
      </c>
      <c r="B257" s="150">
        <v>3.4</v>
      </c>
      <c r="C257" s="190">
        <v>3.44</v>
      </c>
      <c r="D257" s="150">
        <v>5.58</v>
      </c>
      <c r="E257" s="151">
        <v>5.62</v>
      </c>
    </row>
    <row r="258" spans="1:6">
      <c r="A258" s="150" t="s">
        <v>1234</v>
      </c>
      <c r="B258" s="151">
        <v>5080</v>
      </c>
      <c r="C258" s="151">
        <v>5210</v>
      </c>
      <c r="D258" s="151">
        <v>8090</v>
      </c>
      <c r="E258" s="151">
        <v>8220</v>
      </c>
    </row>
    <row r="259" spans="1:6" ht="25.5">
      <c r="A259" s="150" t="s">
        <v>1124</v>
      </c>
      <c r="B259" s="151">
        <v>1590</v>
      </c>
      <c r="C259" s="151">
        <v>1600</v>
      </c>
      <c r="D259" s="151">
        <v>2380</v>
      </c>
      <c r="E259" s="151">
        <v>2400</v>
      </c>
    </row>
    <row r="260" spans="1:6">
      <c r="A260" s="150" t="s">
        <v>1125</v>
      </c>
      <c r="B260" s="151">
        <v>2580</v>
      </c>
      <c r="C260" s="151">
        <v>2620</v>
      </c>
      <c r="D260" s="151">
        <v>3880</v>
      </c>
      <c r="E260" s="151">
        <v>3920</v>
      </c>
    </row>
    <row r="261" spans="1:6">
      <c r="A261" s="150" t="s">
        <v>1237</v>
      </c>
      <c r="B261" s="151">
        <v>8500</v>
      </c>
      <c r="C261" s="151">
        <v>8650</v>
      </c>
      <c r="D261" s="151">
        <v>12700</v>
      </c>
      <c r="E261" s="151">
        <v>12900</v>
      </c>
    </row>
    <row r="262" spans="1:6">
      <c r="A262" s="150" t="s">
        <v>1238</v>
      </c>
      <c r="B262" s="151">
        <v>24400</v>
      </c>
      <c r="C262" s="151">
        <v>24800</v>
      </c>
      <c r="D262" s="151">
        <v>40600</v>
      </c>
      <c r="E262" s="151">
        <v>41000</v>
      </c>
    </row>
    <row r="263" spans="1:6">
      <c r="A263" s="142" t="s">
        <v>646</v>
      </c>
      <c r="B263" s="143">
        <f>SUM(B252:B262)</f>
        <v>117082.9</v>
      </c>
      <c r="C263" s="143">
        <f>SUM(C252:C262)</f>
        <v>118584.34</v>
      </c>
      <c r="D263" s="143">
        <f>SUM(D252:D262)</f>
        <v>179677.47999999998</v>
      </c>
      <c r="E263" s="143">
        <f>SUM(E252:E262)</f>
        <v>181469.02</v>
      </c>
    </row>
    <row r="264" spans="1:6" ht="25.5">
      <c r="A264" s="150" t="s">
        <v>52</v>
      </c>
      <c r="B264" s="167">
        <v>117000</v>
      </c>
      <c r="C264" s="151">
        <v>119000</v>
      </c>
      <c r="D264" s="167">
        <v>180000</v>
      </c>
      <c r="E264" s="167">
        <v>181000</v>
      </c>
    </row>
    <row r="265" spans="1:6" ht="24.75" customHeight="1">
      <c r="A265" s="349" t="s">
        <v>523</v>
      </c>
      <c r="B265" s="350"/>
      <c r="C265" s="350"/>
      <c r="D265" s="350"/>
      <c r="E265" s="350"/>
      <c r="F265" s="350"/>
    </row>
    <row r="266" spans="1:6" ht="25.5">
      <c r="A266" s="150" t="s">
        <v>1218</v>
      </c>
      <c r="B266" s="168" t="s">
        <v>447</v>
      </c>
      <c r="C266" s="168" t="s">
        <v>655</v>
      </c>
      <c r="D266" s="168" t="s">
        <v>656</v>
      </c>
    </row>
    <row r="267" spans="1:6">
      <c r="A267" s="150" t="s">
        <v>8</v>
      </c>
      <c r="B267" s="151">
        <v>0</v>
      </c>
      <c r="C267" s="151">
        <v>0</v>
      </c>
      <c r="D267" s="151">
        <v>0</v>
      </c>
    </row>
    <row r="268" spans="1:6">
      <c r="A268" s="150" t="s">
        <v>78</v>
      </c>
      <c r="B268" s="151">
        <v>1000</v>
      </c>
      <c r="C268" s="151">
        <v>1000</v>
      </c>
      <c r="D268" s="151">
        <v>1000</v>
      </c>
    </row>
    <row r="269" spans="1:6" ht="25.5">
      <c r="A269" s="150" t="s">
        <v>79</v>
      </c>
      <c r="B269" s="151">
        <v>923</v>
      </c>
      <c r="C269" s="151">
        <v>923</v>
      </c>
      <c r="D269" s="151">
        <v>923</v>
      </c>
    </row>
    <row r="270" spans="1:6">
      <c r="A270" s="162" t="s">
        <v>86</v>
      </c>
      <c r="B270" s="151">
        <v>5819</v>
      </c>
      <c r="C270" s="151">
        <v>5819</v>
      </c>
      <c r="D270" s="151">
        <v>5819</v>
      </c>
    </row>
    <row r="271" spans="1:6">
      <c r="A271" s="150" t="s">
        <v>11</v>
      </c>
      <c r="B271" s="151">
        <v>3095</v>
      </c>
      <c r="C271" s="151">
        <v>3095</v>
      </c>
      <c r="D271" s="151">
        <v>3095</v>
      </c>
    </row>
    <row r="272" spans="1:6">
      <c r="A272" s="150" t="s">
        <v>87</v>
      </c>
      <c r="B272" s="151">
        <v>3234</v>
      </c>
      <c r="C272" s="151">
        <v>11040</v>
      </c>
      <c r="D272" s="151">
        <v>4830</v>
      </c>
    </row>
    <row r="273" spans="1:6">
      <c r="A273" s="150" t="s">
        <v>88</v>
      </c>
      <c r="B273" s="151">
        <v>4550</v>
      </c>
      <c r="C273" s="151">
        <v>4550</v>
      </c>
      <c r="D273" s="151">
        <v>4550</v>
      </c>
    </row>
    <row r="274" spans="1:6" ht="25.5">
      <c r="A274" s="150" t="s">
        <v>89</v>
      </c>
      <c r="B274" s="151">
        <v>3757</v>
      </c>
      <c r="C274" s="151">
        <v>3757</v>
      </c>
      <c r="D274" s="151">
        <v>3757</v>
      </c>
    </row>
    <row r="275" spans="1:6" ht="25.5">
      <c r="A275" s="150" t="s">
        <v>90</v>
      </c>
      <c r="B275" s="151">
        <v>-73600</v>
      </c>
      <c r="C275" s="151">
        <v>-73600</v>
      </c>
      <c r="D275" s="151">
        <v>-73600</v>
      </c>
    </row>
    <row r="276" spans="1:6">
      <c r="A276" s="150" t="s">
        <v>1182</v>
      </c>
      <c r="B276" s="151">
        <v>5252</v>
      </c>
      <c r="C276" s="151">
        <v>5252</v>
      </c>
      <c r="D276" s="151">
        <v>5252</v>
      </c>
    </row>
    <row r="277" spans="1:6">
      <c r="A277" s="150" t="s">
        <v>1224</v>
      </c>
      <c r="B277" s="151">
        <v>320.7</v>
      </c>
      <c r="C277" s="151">
        <v>320.7</v>
      </c>
      <c r="D277" s="151">
        <v>320.7</v>
      </c>
    </row>
    <row r="278" spans="1:6">
      <c r="A278" s="150" t="s">
        <v>91</v>
      </c>
      <c r="B278" s="151">
        <v>0</v>
      </c>
      <c r="C278" s="151">
        <v>0</v>
      </c>
      <c r="D278" s="151">
        <v>0</v>
      </c>
    </row>
    <row r="279" spans="1:6">
      <c r="A279" s="142" t="s">
        <v>646</v>
      </c>
      <c r="B279" s="143">
        <f>SUM(B267:B278)</f>
        <v>-45649.3</v>
      </c>
      <c r="C279" s="143">
        <f>SUM(C267:C278)</f>
        <v>-37843.300000000003</v>
      </c>
      <c r="D279" s="143">
        <f>SUM(D267:D278)</f>
        <v>-44053.3</v>
      </c>
    </row>
    <row r="280" spans="1:6" ht="25.5">
      <c r="A280" s="150" t="s">
        <v>52</v>
      </c>
      <c r="B280" s="167">
        <v>-45400</v>
      </c>
      <c r="C280" s="151">
        <v>-37700</v>
      </c>
      <c r="D280" s="167">
        <v>-43800</v>
      </c>
    </row>
    <row r="281" spans="1:6" ht="27" customHeight="1">
      <c r="A281" s="349" t="s">
        <v>659</v>
      </c>
      <c r="B281" s="350"/>
      <c r="C281" s="350"/>
      <c r="D281" s="350"/>
      <c r="E281" s="350"/>
      <c r="F281" s="350"/>
    </row>
    <row r="282" spans="1:6" ht="25.5">
      <c r="A282" s="150" t="s">
        <v>430</v>
      </c>
      <c r="B282" s="168" t="s">
        <v>447</v>
      </c>
      <c r="C282" s="168" t="s">
        <v>655</v>
      </c>
      <c r="D282" s="168" t="s">
        <v>656</v>
      </c>
    </row>
    <row r="283" spans="1:6">
      <c r="A283" s="150" t="s">
        <v>108</v>
      </c>
      <c r="B283" s="170">
        <v>21.9</v>
      </c>
      <c r="C283" s="170">
        <v>22.9</v>
      </c>
      <c r="D283" s="170">
        <v>22</v>
      </c>
    </row>
    <row r="284" spans="1:6" ht="25.5">
      <c r="A284" s="150" t="s">
        <v>109</v>
      </c>
      <c r="B284" s="170">
        <v>4.1599999999999996E-3</v>
      </c>
      <c r="C284" s="170">
        <v>8.9599999999999992E-3</v>
      </c>
      <c r="D284" s="170">
        <v>5.3299999999999997E-3</v>
      </c>
    </row>
    <row r="285" spans="1:6" ht="25.5">
      <c r="A285" s="150" t="s">
        <v>1188</v>
      </c>
      <c r="B285" s="170">
        <v>-130</v>
      </c>
      <c r="C285" s="170">
        <v>-122</v>
      </c>
      <c r="D285" s="170">
        <v>-129</v>
      </c>
    </row>
    <row r="286" spans="1:6">
      <c r="A286" s="150" t="s">
        <v>1189</v>
      </c>
      <c r="B286" s="170">
        <v>-14.6</v>
      </c>
      <c r="C286" s="170">
        <v>-12.3</v>
      </c>
      <c r="D286" s="170">
        <v>-14.2</v>
      </c>
    </row>
    <row r="287" spans="1:6">
      <c r="A287" s="150" t="s">
        <v>107</v>
      </c>
      <c r="B287" s="170">
        <v>0.35399999999999998</v>
      </c>
      <c r="C287" s="170">
        <v>0.39700000000000002</v>
      </c>
      <c r="D287" s="170">
        <v>0.35699999999999998</v>
      </c>
    </row>
    <row r="288" spans="1:6">
      <c r="A288" s="150" t="s">
        <v>1187</v>
      </c>
      <c r="B288" s="170">
        <v>2.8600000000000001E-3</v>
      </c>
      <c r="C288" s="170">
        <v>3.4299999999999999E-3</v>
      </c>
      <c r="D288" s="170">
        <v>2.96E-3</v>
      </c>
    </row>
    <row r="289" spans="1:6">
      <c r="A289" s="150" t="s">
        <v>1234</v>
      </c>
      <c r="B289" s="170">
        <v>10.3</v>
      </c>
      <c r="C289" s="170">
        <v>11.4</v>
      </c>
      <c r="D289" s="170">
        <v>10.6</v>
      </c>
    </row>
    <row r="290" spans="1:6" ht="25.5">
      <c r="A290" s="150" t="s">
        <v>1124</v>
      </c>
      <c r="B290" s="170">
        <v>-0.67300000000000004</v>
      </c>
      <c r="C290" s="170">
        <v>-0.439</v>
      </c>
      <c r="D290" s="170">
        <v>-0.63400000000000001</v>
      </c>
    </row>
    <row r="291" spans="1:6">
      <c r="A291" s="150" t="s">
        <v>1125</v>
      </c>
      <c r="B291" s="170">
        <v>-0.26300000000000001</v>
      </c>
      <c r="C291" s="170">
        <v>7.4800000000000005E-2</v>
      </c>
      <c r="D291" s="170">
        <v>-0.16300000000000001</v>
      </c>
    </row>
    <row r="292" spans="1:6">
      <c r="A292" s="150" t="s">
        <v>1237</v>
      </c>
      <c r="B292" s="170">
        <v>-24.8</v>
      </c>
      <c r="C292" s="170">
        <v>-22.4</v>
      </c>
      <c r="D292" s="170">
        <v>-24</v>
      </c>
    </row>
    <row r="293" spans="1:6">
      <c r="A293" s="150" t="s">
        <v>1238</v>
      </c>
      <c r="B293" s="170">
        <v>24.7</v>
      </c>
      <c r="C293" s="170">
        <v>34.700000000000003</v>
      </c>
      <c r="D293" s="170">
        <v>26.5</v>
      </c>
    </row>
    <row r="294" spans="1:6" ht="25.5" customHeight="1">
      <c r="A294" s="349" t="s">
        <v>407</v>
      </c>
      <c r="B294" s="350"/>
      <c r="C294" s="350"/>
      <c r="D294" s="350"/>
      <c r="E294" s="350"/>
      <c r="F294" s="350"/>
    </row>
    <row r="295" spans="1:6" ht="25.5">
      <c r="A295" s="150" t="s">
        <v>430</v>
      </c>
      <c r="B295" s="168" t="s">
        <v>447</v>
      </c>
      <c r="C295" s="168" t="s">
        <v>655</v>
      </c>
      <c r="D295" s="168" t="s">
        <v>656</v>
      </c>
    </row>
    <row r="296" spans="1:6">
      <c r="A296" s="150" t="s">
        <v>108</v>
      </c>
      <c r="B296" s="151">
        <v>8740</v>
      </c>
      <c r="C296" s="151">
        <v>9150</v>
      </c>
      <c r="D296" s="151">
        <v>8820</v>
      </c>
    </row>
    <row r="297" spans="1:6" ht="25.5">
      <c r="A297" s="150" t="s">
        <v>109</v>
      </c>
      <c r="B297" s="150">
        <v>1.66</v>
      </c>
      <c r="C297" s="150">
        <v>3.58</v>
      </c>
      <c r="D297" s="150">
        <v>2.13</v>
      </c>
    </row>
    <row r="298" spans="1:6" ht="25.5">
      <c r="A298" s="150" t="s">
        <v>1188</v>
      </c>
      <c r="B298" s="151">
        <v>-52200</v>
      </c>
      <c r="C298" s="151">
        <v>-49000</v>
      </c>
      <c r="D298" s="151">
        <v>-51500</v>
      </c>
    </row>
    <row r="299" spans="1:6">
      <c r="A299" s="150" t="s">
        <v>1189</v>
      </c>
      <c r="B299" s="151">
        <v>-5830</v>
      </c>
      <c r="C299" s="151">
        <v>-4900</v>
      </c>
      <c r="D299" s="151">
        <v>-5690</v>
      </c>
    </row>
    <row r="300" spans="1:6">
      <c r="A300" s="150" t="s">
        <v>107</v>
      </c>
      <c r="B300" s="151">
        <v>142</v>
      </c>
      <c r="C300" s="151">
        <v>159</v>
      </c>
      <c r="D300" s="151">
        <v>143</v>
      </c>
    </row>
    <row r="301" spans="1:6">
      <c r="A301" s="150" t="s">
        <v>1187</v>
      </c>
      <c r="B301" s="150">
        <v>1.1399999999999999</v>
      </c>
      <c r="C301" s="190">
        <v>1.37</v>
      </c>
      <c r="D301" s="150">
        <v>1.18</v>
      </c>
    </row>
    <row r="302" spans="1:6">
      <c r="A302" s="150" t="s">
        <v>1234</v>
      </c>
      <c r="B302" s="151">
        <v>4110</v>
      </c>
      <c r="C302" s="151">
        <v>4560</v>
      </c>
      <c r="D302" s="151">
        <v>4240</v>
      </c>
    </row>
    <row r="303" spans="1:6" ht="25.5">
      <c r="A303" s="150" t="s">
        <v>1124</v>
      </c>
      <c r="B303" s="151">
        <v>-269</v>
      </c>
      <c r="C303" s="151">
        <v>-175</v>
      </c>
      <c r="D303" s="151">
        <v>-254</v>
      </c>
    </row>
    <row r="304" spans="1:6">
      <c r="A304" s="150" t="s">
        <v>1125</v>
      </c>
      <c r="B304" s="151">
        <v>-105</v>
      </c>
      <c r="C304" s="151">
        <v>29.9</v>
      </c>
      <c r="D304" s="151">
        <v>-65.2</v>
      </c>
    </row>
    <row r="305" spans="1:6">
      <c r="A305" s="150" t="s">
        <v>1237</v>
      </c>
      <c r="B305" s="151">
        <v>-4960</v>
      </c>
      <c r="C305" s="151">
        <v>-4490</v>
      </c>
      <c r="D305" s="151">
        <v>-4810</v>
      </c>
    </row>
    <row r="306" spans="1:6">
      <c r="A306" s="150" t="s">
        <v>1238</v>
      </c>
      <c r="B306" s="151">
        <v>4940</v>
      </c>
      <c r="C306" s="151">
        <v>6930</v>
      </c>
      <c r="D306" s="151">
        <v>5300</v>
      </c>
    </row>
    <row r="307" spans="1:6">
      <c r="A307" s="142" t="s">
        <v>646</v>
      </c>
      <c r="B307" s="143">
        <f>SUM(B296:B306)</f>
        <v>-45429.2</v>
      </c>
      <c r="C307" s="143">
        <f>SUM(C296:C306)</f>
        <v>-37731.149999999994</v>
      </c>
      <c r="D307" s="143">
        <f>SUM(D296:D306)</f>
        <v>-43812.89</v>
      </c>
    </row>
    <row r="308" spans="1:6" ht="25.5">
      <c r="A308" s="150" t="s">
        <v>52</v>
      </c>
      <c r="B308" s="167">
        <v>-45400</v>
      </c>
      <c r="C308" s="151">
        <v>-37700</v>
      </c>
      <c r="D308" s="167">
        <v>-43800</v>
      </c>
    </row>
    <row r="309" spans="1:6" ht="32.25" customHeight="1">
      <c r="A309" s="349" t="s">
        <v>320</v>
      </c>
      <c r="B309" s="330"/>
      <c r="C309" s="330"/>
      <c r="D309" s="330"/>
      <c r="E309" s="330"/>
      <c r="F309" s="330"/>
    </row>
    <row r="310" spans="1:6" ht="25.5">
      <c r="A310" s="150" t="s">
        <v>1218</v>
      </c>
      <c r="B310" s="168" t="s">
        <v>447</v>
      </c>
      <c r="C310" s="168" t="s">
        <v>321</v>
      </c>
      <c r="D310" s="168" t="s">
        <v>535</v>
      </c>
    </row>
    <row r="311" spans="1:6">
      <c r="A311" s="150" t="s">
        <v>8</v>
      </c>
      <c r="B311" s="151">
        <v>0</v>
      </c>
      <c r="C311" s="151">
        <v>0</v>
      </c>
      <c r="D311" s="151">
        <v>0</v>
      </c>
    </row>
    <row r="312" spans="1:6">
      <c r="A312" s="150" t="s">
        <v>78</v>
      </c>
      <c r="B312" s="151">
        <v>1000</v>
      </c>
      <c r="C312" s="151">
        <v>1000</v>
      </c>
      <c r="D312" s="151">
        <v>1000</v>
      </c>
    </row>
    <row r="313" spans="1:6" ht="25.5">
      <c r="A313" s="150" t="s">
        <v>79</v>
      </c>
      <c r="B313" s="151">
        <v>923</v>
      </c>
      <c r="C313" s="151">
        <v>923</v>
      </c>
      <c r="D313" s="151">
        <v>923</v>
      </c>
    </row>
    <row r="314" spans="1:6">
      <c r="A314" s="162" t="s">
        <v>86</v>
      </c>
      <c r="B314" s="151">
        <v>5819</v>
      </c>
      <c r="C314" s="151">
        <v>5819</v>
      </c>
      <c r="D314" s="151">
        <v>5819</v>
      </c>
    </row>
    <row r="315" spans="1:6">
      <c r="A315" s="150" t="s">
        <v>11</v>
      </c>
      <c r="B315" s="151">
        <v>3095</v>
      </c>
      <c r="C315" s="151">
        <v>3095</v>
      </c>
      <c r="D315" s="151">
        <v>3095</v>
      </c>
    </row>
    <row r="316" spans="1:6">
      <c r="A316" s="150" t="s">
        <v>87</v>
      </c>
      <c r="B316" s="151">
        <v>3234</v>
      </c>
      <c r="C316" s="151">
        <v>3234</v>
      </c>
      <c r="D316" s="151">
        <v>3234</v>
      </c>
    </row>
    <row r="317" spans="1:6">
      <c r="A317" s="150" t="s">
        <v>88</v>
      </c>
      <c r="B317" s="151">
        <v>4550</v>
      </c>
      <c r="C317" s="151">
        <v>4550</v>
      </c>
      <c r="D317" s="151">
        <v>4550</v>
      </c>
    </row>
    <row r="318" spans="1:6" ht="25.5">
      <c r="A318" s="150" t="s">
        <v>89</v>
      </c>
      <c r="B318" s="151">
        <v>3757</v>
      </c>
      <c r="C318" s="151">
        <v>12183</v>
      </c>
      <c r="D318" s="151">
        <v>6217</v>
      </c>
    </row>
    <row r="319" spans="1:6" ht="25.5">
      <c r="A319" s="150" t="s">
        <v>90</v>
      </c>
      <c r="B319" s="151">
        <v>-73600</v>
      </c>
      <c r="C319" s="151">
        <v>-73600</v>
      </c>
      <c r="D319" s="151">
        <v>-73600</v>
      </c>
    </row>
    <row r="320" spans="1:6">
      <c r="A320" s="150" t="s">
        <v>1182</v>
      </c>
      <c r="B320" s="151">
        <v>5252</v>
      </c>
      <c r="C320" s="151">
        <v>5252</v>
      </c>
      <c r="D320" s="151">
        <v>5252</v>
      </c>
    </row>
    <row r="321" spans="1:6">
      <c r="A321" s="150" t="s">
        <v>1224</v>
      </c>
      <c r="B321" s="151">
        <v>320.7</v>
      </c>
      <c r="C321" s="151">
        <v>320.7</v>
      </c>
      <c r="D321" s="151">
        <v>320.7</v>
      </c>
    </row>
    <row r="322" spans="1:6">
      <c r="A322" s="150" t="s">
        <v>91</v>
      </c>
      <c r="B322" s="151">
        <v>0</v>
      </c>
      <c r="C322" s="151">
        <v>0</v>
      </c>
      <c r="D322" s="151">
        <v>0</v>
      </c>
    </row>
    <row r="323" spans="1:6">
      <c r="A323" s="142" t="s">
        <v>646</v>
      </c>
      <c r="B323" s="143">
        <f>SUM(B311:B322)</f>
        <v>-45649.3</v>
      </c>
      <c r="C323" s="143">
        <f>SUM(C311:C322)</f>
        <v>-37223.300000000003</v>
      </c>
      <c r="D323" s="143">
        <f>SUM(D311:D322)</f>
        <v>-43189.3</v>
      </c>
    </row>
    <row r="324" spans="1:6" ht="25.5">
      <c r="A324" s="150" t="s">
        <v>52</v>
      </c>
      <c r="B324" s="167">
        <v>-45400</v>
      </c>
      <c r="C324" s="151">
        <v>-37000</v>
      </c>
      <c r="D324" s="167">
        <v>-43000</v>
      </c>
    </row>
    <row r="325" spans="1:6" ht="27.75" customHeight="1">
      <c r="A325" s="349" t="s">
        <v>672</v>
      </c>
      <c r="B325" s="330"/>
      <c r="C325" s="330"/>
      <c r="D325" s="330"/>
      <c r="E325" s="330"/>
      <c r="F325" s="330"/>
    </row>
    <row r="326" spans="1:6" ht="25.5">
      <c r="A326" s="150" t="s">
        <v>430</v>
      </c>
      <c r="B326" s="168" t="s">
        <v>447</v>
      </c>
      <c r="C326" s="168" t="s">
        <v>321</v>
      </c>
      <c r="D326" s="168" t="s">
        <v>535</v>
      </c>
    </row>
    <row r="327" spans="1:6">
      <c r="A327" s="150" t="s">
        <v>108</v>
      </c>
      <c r="B327" s="170">
        <v>21.9</v>
      </c>
      <c r="C327" s="170">
        <v>22.1</v>
      </c>
      <c r="D327" s="170">
        <v>21.9</v>
      </c>
    </row>
    <row r="328" spans="1:6" ht="25.5">
      <c r="A328" s="150" t="s">
        <v>109</v>
      </c>
      <c r="B328" s="170">
        <v>4.1599999999999996E-3</v>
      </c>
      <c r="C328" s="170">
        <v>7.43E-3</v>
      </c>
      <c r="D328" s="170">
        <v>5.1200000000000004E-3</v>
      </c>
    </row>
    <row r="329" spans="1:6" ht="25.5">
      <c r="A329" s="150" t="s">
        <v>1188</v>
      </c>
      <c r="B329" s="170">
        <v>-130</v>
      </c>
      <c r="C329" s="170">
        <v>-113</v>
      </c>
      <c r="D329" s="170">
        <v>-125</v>
      </c>
    </row>
    <row r="330" spans="1:6">
      <c r="A330" s="150" t="s">
        <v>1189</v>
      </c>
      <c r="B330" s="170">
        <v>-14.6</v>
      </c>
      <c r="C330" s="170">
        <v>-13.6</v>
      </c>
      <c r="D330" s="170">
        <v>-14.3</v>
      </c>
    </row>
    <row r="331" spans="1:6">
      <c r="A331" s="150" t="s">
        <v>107</v>
      </c>
      <c r="B331" s="170">
        <v>0.35399999999999998</v>
      </c>
      <c r="C331" s="170">
        <v>0.35599999999999998</v>
      </c>
      <c r="D331" s="170">
        <v>0.35499999999999998</v>
      </c>
    </row>
    <row r="332" spans="1:6">
      <c r="A332" s="150" t="s">
        <v>1187</v>
      </c>
      <c r="B332" s="170">
        <v>2.8600000000000001E-3</v>
      </c>
      <c r="C332" s="170">
        <v>2.99E-3</v>
      </c>
      <c r="D332" s="170">
        <v>2.8999999999999998E-3</v>
      </c>
    </row>
    <row r="333" spans="1:6">
      <c r="A333" s="150" t="s">
        <v>1234</v>
      </c>
      <c r="B333" s="170">
        <v>10.3</v>
      </c>
      <c r="C333" s="170">
        <v>10.5</v>
      </c>
      <c r="D333" s="170">
        <v>10.4</v>
      </c>
    </row>
    <row r="334" spans="1:6" ht="25.5">
      <c r="A334" s="150" t="s">
        <v>1124</v>
      </c>
      <c r="B334" s="170">
        <v>-0.67300000000000004</v>
      </c>
      <c r="C334" s="170">
        <v>-0.47299999999999998</v>
      </c>
      <c r="D334" s="170">
        <v>-0.61399999999999999</v>
      </c>
    </row>
    <row r="335" spans="1:6">
      <c r="A335" s="150" t="s">
        <v>1125</v>
      </c>
      <c r="B335" s="170">
        <v>-0.26300000000000001</v>
      </c>
      <c r="C335" s="170">
        <v>-0.214</v>
      </c>
      <c r="D335" s="170">
        <v>-0.249</v>
      </c>
    </row>
    <row r="336" spans="1:6">
      <c r="A336" s="150" t="s">
        <v>1237</v>
      </c>
      <c r="B336" s="170">
        <v>-24.8</v>
      </c>
      <c r="C336" s="170">
        <v>-24.2</v>
      </c>
      <c r="D336" s="170">
        <v>-24.6</v>
      </c>
    </row>
    <row r="337" spans="1:6">
      <c r="A337" s="150" t="s">
        <v>1238</v>
      </c>
      <c r="B337" s="170">
        <v>24.7</v>
      </c>
      <c r="C337" s="170">
        <v>27</v>
      </c>
      <c r="D337" s="170">
        <v>25.4</v>
      </c>
    </row>
    <row r="338" spans="1:6">
      <c r="A338" s="349" t="s">
        <v>407</v>
      </c>
      <c r="B338" s="330"/>
      <c r="C338" s="330"/>
      <c r="D338" s="330"/>
      <c r="E338" s="330"/>
      <c r="F338" s="330"/>
    </row>
    <row r="339" spans="1:6" ht="25.5">
      <c r="A339" s="150" t="s">
        <v>430</v>
      </c>
      <c r="B339" s="168" t="s">
        <v>447</v>
      </c>
      <c r="C339" s="168" t="s">
        <v>321</v>
      </c>
      <c r="D339" s="168" t="s">
        <v>535</v>
      </c>
    </row>
    <row r="340" spans="1:6">
      <c r="A340" s="150" t="s">
        <v>108</v>
      </c>
      <c r="B340" s="151">
        <v>8740</v>
      </c>
      <c r="C340" s="151">
        <v>8840</v>
      </c>
      <c r="D340" s="151">
        <v>8770</v>
      </c>
    </row>
    <row r="341" spans="1:6" ht="25.5">
      <c r="A341" s="150" t="s">
        <v>109</v>
      </c>
      <c r="B341" s="150">
        <v>1.66</v>
      </c>
      <c r="C341" s="150">
        <v>2.97</v>
      </c>
      <c r="D341" s="150">
        <v>2.0499999999999998</v>
      </c>
    </row>
    <row r="342" spans="1:6" ht="25.5">
      <c r="A342" s="150" t="s">
        <v>1188</v>
      </c>
      <c r="B342" s="151">
        <v>-52200</v>
      </c>
      <c r="C342" s="151">
        <v>-45100</v>
      </c>
      <c r="D342" s="151">
        <v>-50100</v>
      </c>
    </row>
    <row r="343" spans="1:6">
      <c r="A343" s="150" t="s">
        <v>1189</v>
      </c>
      <c r="B343" s="151">
        <v>-5830</v>
      </c>
      <c r="C343" s="151">
        <v>-5440</v>
      </c>
      <c r="D343" s="151">
        <v>-5720</v>
      </c>
    </row>
    <row r="344" spans="1:6">
      <c r="A344" s="150" t="s">
        <v>107</v>
      </c>
      <c r="B344" s="151">
        <v>142</v>
      </c>
      <c r="C344" s="151">
        <v>143</v>
      </c>
      <c r="D344" s="151">
        <v>142</v>
      </c>
    </row>
    <row r="345" spans="1:6">
      <c r="A345" s="150" t="s">
        <v>1187</v>
      </c>
      <c r="B345" s="150">
        <v>1.1399999999999999</v>
      </c>
      <c r="C345" s="190">
        <v>1.2</v>
      </c>
      <c r="D345" s="150">
        <v>1.1599999999999999</v>
      </c>
    </row>
    <row r="346" spans="1:6">
      <c r="A346" s="150" t="s">
        <v>1234</v>
      </c>
      <c r="B346" s="151">
        <v>4110</v>
      </c>
      <c r="C346" s="151">
        <v>4210</v>
      </c>
      <c r="D346" s="151">
        <v>4140</v>
      </c>
    </row>
    <row r="347" spans="1:6" ht="25.5">
      <c r="A347" s="150" t="s">
        <v>1124</v>
      </c>
      <c r="B347" s="151">
        <v>-269</v>
      </c>
      <c r="C347" s="151">
        <v>-189</v>
      </c>
      <c r="D347" s="151">
        <v>-246</v>
      </c>
    </row>
    <row r="348" spans="1:6">
      <c r="A348" s="150" t="s">
        <v>1125</v>
      </c>
      <c r="B348" s="151">
        <v>-105</v>
      </c>
      <c r="C348" s="151">
        <v>-85.5</v>
      </c>
      <c r="D348" s="151">
        <v>-99.5</v>
      </c>
    </row>
    <row r="349" spans="1:6">
      <c r="A349" s="150" t="s">
        <v>1237</v>
      </c>
      <c r="B349" s="151">
        <v>-4960</v>
      </c>
      <c r="C349" s="151">
        <v>-4830</v>
      </c>
      <c r="D349" s="151">
        <v>-4920</v>
      </c>
    </row>
    <row r="350" spans="1:6">
      <c r="A350" s="150" t="s">
        <v>1238</v>
      </c>
      <c r="B350" s="151">
        <v>4940</v>
      </c>
      <c r="C350" s="151">
        <v>5410</v>
      </c>
      <c r="D350" s="151">
        <v>5080</v>
      </c>
    </row>
    <row r="351" spans="1:6">
      <c r="A351" s="142" t="s">
        <v>646</v>
      </c>
      <c r="B351" s="143">
        <f>SUM(B340:B350)</f>
        <v>-45429.2</v>
      </c>
      <c r="C351" s="143">
        <f>SUM(C340:C350)</f>
        <v>-37037.33</v>
      </c>
      <c r="D351" s="143">
        <f>SUM(D340:D350)</f>
        <v>-42950.289999999994</v>
      </c>
    </row>
    <row r="352" spans="1:6" ht="25.5">
      <c r="A352" s="150" t="s">
        <v>52</v>
      </c>
      <c r="B352" s="167">
        <v>-45400</v>
      </c>
      <c r="C352" s="151">
        <v>-37000</v>
      </c>
      <c r="D352" s="167">
        <v>-43000</v>
      </c>
    </row>
    <row r="353" spans="1:4">
      <c r="A353" s="165" t="s">
        <v>444</v>
      </c>
    </row>
    <row r="354" spans="1:4" ht="63.75">
      <c r="A354" s="150" t="s">
        <v>1218</v>
      </c>
      <c r="B354" s="168" t="s">
        <v>601</v>
      </c>
      <c r="C354" s="168" t="s">
        <v>602</v>
      </c>
      <c r="D354" s="168" t="s">
        <v>603</v>
      </c>
    </row>
    <row r="355" spans="1:4">
      <c r="A355" s="150" t="s">
        <v>8</v>
      </c>
      <c r="B355" s="151">
        <v>0</v>
      </c>
      <c r="C355" s="151">
        <v>0</v>
      </c>
      <c r="D355" s="151">
        <v>0</v>
      </c>
    </row>
    <row r="356" spans="1:4">
      <c r="A356" s="150" t="s">
        <v>78</v>
      </c>
      <c r="B356" s="151">
        <v>1000</v>
      </c>
      <c r="C356" s="151">
        <v>1000</v>
      </c>
      <c r="D356" s="151">
        <v>1000</v>
      </c>
    </row>
    <row r="357" spans="1:4" ht="25.5">
      <c r="A357" s="150" t="s">
        <v>79</v>
      </c>
      <c r="B357" s="151">
        <v>923</v>
      </c>
      <c r="C357" s="151">
        <v>923</v>
      </c>
      <c r="D357" s="151">
        <v>923</v>
      </c>
    </row>
    <row r="358" spans="1:4">
      <c r="A358" s="162" t="s">
        <v>86</v>
      </c>
      <c r="B358" s="151">
        <v>1506</v>
      </c>
      <c r="C358" s="151">
        <v>1506</v>
      </c>
      <c r="D358" s="151">
        <v>1506</v>
      </c>
    </row>
    <row r="359" spans="1:4">
      <c r="A359" s="150" t="s">
        <v>11</v>
      </c>
      <c r="B359" s="151">
        <v>4076</v>
      </c>
      <c r="C359" s="151">
        <v>4076</v>
      </c>
      <c r="D359" s="151">
        <v>4076</v>
      </c>
    </row>
    <row r="360" spans="1:4">
      <c r="A360" s="150" t="s">
        <v>87</v>
      </c>
      <c r="B360" s="151">
        <v>3234</v>
      </c>
      <c r="C360" s="151">
        <v>3234</v>
      </c>
      <c r="D360" s="151">
        <v>3234</v>
      </c>
    </row>
    <row r="361" spans="1:4">
      <c r="A361" s="150" t="s">
        <v>88</v>
      </c>
      <c r="B361" s="151">
        <v>4550</v>
      </c>
      <c r="C361" s="151">
        <v>4350</v>
      </c>
      <c r="D361" s="151">
        <v>6210</v>
      </c>
    </row>
    <row r="362" spans="1:4" ht="25.5">
      <c r="A362" s="150" t="s">
        <v>89</v>
      </c>
      <c r="B362" s="151">
        <v>4169</v>
      </c>
      <c r="C362" s="151">
        <v>4169</v>
      </c>
      <c r="D362" s="151">
        <v>4169</v>
      </c>
    </row>
    <row r="363" spans="1:4" ht="25.5">
      <c r="A363" s="150" t="s">
        <v>90</v>
      </c>
      <c r="B363" s="151">
        <v>-73600</v>
      </c>
      <c r="C363" s="151">
        <v>-73600</v>
      </c>
      <c r="D363" s="151">
        <v>-73600</v>
      </c>
    </row>
    <row r="364" spans="1:4">
      <c r="A364" s="150" t="s">
        <v>1182</v>
      </c>
      <c r="B364" s="151">
        <v>5252</v>
      </c>
      <c r="C364" s="151">
        <v>5252</v>
      </c>
      <c r="D364" s="151">
        <v>5252</v>
      </c>
    </row>
    <row r="365" spans="1:4">
      <c r="A365" s="150" t="s">
        <v>1224</v>
      </c>
      <c r="B365" s="151">
        <v>320.7</v>
      </c>
      <c r="C365" s="151">
        <v>320.7</v>
      </c>
      <c r="D365" s="151">
        <v>320.7</v>
      </c>
    </row>
    <row r="366" spans="1:4">
      <c r="A366" s="150" t="s">
        <v>91</v>
      </c>
      <c r="B366" s="151">
        <v>0</v>
      </c>
      <c r="C366" s="151">
        <v>0</v>
      </c>
      <c r="D366" s="151">
        <v>0</v>
      </c>
    </row>
    <row r="367" spans="1:4">
      <c r="A367" s="142" t="s">
        <v>646</v>
      </c>
      <c r="B367" s="143">
        <f>SUM(B355:B366)</f>
        <v>-48569.3</v>
      </c>
      <c r="C367" s="143">
        <f>SUM(C355:C366)</f>
        <v>-48769.3</v>
      </c>
      <c r="D367" s="143">
        <f>SUM(D355:D366)</f>
        <v>-46909.3</v>
      </c>
    </row>
    <row r="368" spans="1:4" ht="25.5">
      <c r="A368" s="150" t="s">
        <v>52</v>
      </c>
      <c r="B368" s="167">
        <v>-48400</v>
      </c>
      <c r="C368" s="167">
        <v>-48600</v>
      </c>
      <c r="D368" s="167">
        <v>-46700</v>
      </c>
    </row>
    <row r="369" spans="1:4">
      <c r="A369" s="165" t="s">
        <v>604</v>
      </c>
    </row>
    <row r="370" spans="1:4" ht="63.75">
      <c r="A370" s="150" t="s">
        <v>430</v>
      </c>
      <c r="B370" s="168" t="s">
        <v>601</v>
      </c>
      <c r="C370" s="168" t="s">
        <v>602</v>
      </c>
      <c r="D370" s="168" t="s">
        <v>603</v>
      </c>
    </row>
    <row r="371" spans="1:4">
      <c r="A371" s="150" t="s">
        <v>108</v>
      </c>
      <c r="B371" s="170">
        <v>21.8</v>
      </c>
      <c r="C371" s="170">
        <v>21.7</v>
      </c>
      <c r="D371" s="170">
        <v>22.3</v>
      </c>
    </row>
    <row r="372" spans="1:4" ht="25.5">
      <c r="A372" s="150" t="s">
        <v>109</v>
      </c>
      <c r="B372" s="170">
        <v>-6.1700000000000004E-4</v>
      </c>
      <c r="C372" s="170">
        <v>-6.7599999999999995E-4</v>
      </c>
      <c r="D372" s="170">
        <v>-3.8800000000000001E-5</v>
      </c>
    </row>
    <row r="373" spans="1:4" ht="25.5">
      <c r="A373" s="150" t="s">
        <v>1188</v>
      </c>
      <c r="B373" s="170">
        <v>-133</v>
      </c>
      <c r="C373" s="170">
        <v>-133</v>
      </c>
      <c r="D373" s="170">
        <v>-131</v>
      </c>
    </row>
    <row r="374" spans="1:4">
      <c r="A374" s="150" t="s">
        <v>1189</v>
      </c>
      <c r="B374" s="170">
        <v>-15.3</v>
      </c>
      <c r="C374" s="170">
        <v>-15.3</v>
      </c>
      <c r="D374" s="170">
        <v>-15.1</v>
      </c>
    </row>
    <row r="375" spans="1:4">
      <c r="A375" s="150" t="s">
        <v>107</v>
      </c>
      <c r="B375" s="170">
        <v>0.35199999999999998</v>
      </c>
      <c r="C375" s="170">
        <v>0.34899999999999998</v>
      </c>
      <c r="D375" s="170">
        <v>0.379</v>
      </c>
    </row>
    <row r="376" spans="1:4">
      <c r="A376" s="150" t="s">
        <v>1187</v>
      </c>
      <c r="B376" s="170">
        <v>2.2000000000000001E-3</v>
      </c>
      <c r="C376" s="170">
        <v>2.1900000000000001E-3</v>
      </c>
      <c r="D376" s="170">
        <v>2.2899999999999999E-3</v>
      </c>
    </row>
    <row r="377" spans="1:4">
      <c r="A377" s="150" t="s">
        <v>1234</v>
      </c>
      <c r="B377" s="170">
        <v>10.199999999999999</v>
      </c>
      <c r="C377" s="170">
        <v>10</v>
      </c>
      <c r="D377" s="170">
        <v>11.1</v>
      </c>
    </row>
    <row r="378" spans="1:4" ht="25.5">
      <c r="A378" s="150" t="s">
        <v>1124</v>
      </c>
      <c r="B378" s="170">
        <v>-0.85399999999999998</v>
      </c>
      <c r="C378" s="170">
        <v>-0.85799999999999998</v>
      </c>
      <c r="D378" s="170">
        <v>-0.82099999999999995</v>
      </c>
    </row>
    <row r="379" spans="1:4">
      <c r="A379" s="150" t="s">
        <v>1125</v>
      </c>
      <c r="B379" s="170">
        <v>-0.34399999999999997</v>
      </c>
      <c r="C379" s="170">
        <v>-0.35</v>
      </c>
      <c r="D379" s="170">
        <v>-0.29699999999999999</v>
      </c>
    </row>
    <row r="380" spans="1:4">
      <c r="A380" s="150" t="s">
        <v>1237</v>
      </c>
      <c r="B380" s="170">
        <v>-24.9</v>
      </c>
      <c r="C380" s="170">
        <v>-25</v>
      </c>
      <c r="D380" s="170">
        <v>-23.8</v>
      </c>
    </row>
    <row r="381" spans="1:4">
      <c r="A381" s="150" t="s">
        <v>1238</v>
      </c>
      <c r="B381" s="170">
        <v>17.100000000000001</v>
      </c>
      <c r="C381" s="170">
        <v>17</v>
      </c>
      <c r="D381" s="170">
        <v>17.8</v>
      </c>
    </row>
    <row r="382" spans="1:4">
      <c r="A382" s="165" t="s">
        <v>731</v>
      </c>
    </row>
    <row r="383" spans="1:4" ht="63.75">
      <c r="A383" s="150" t="s">
        <v>430</v>
      </c>
      <c r="B383" s="168" t="s">
        <v>601</v>
      </c>
      <c r="C383" s="168" t="s">
        <v>602</v>
      </c>
      <c r="D383" s="168" t="s">
        <v>603</v>
      </c>
    </row>
    <row r="384" spans="1:4">
      <c r="A384" s="150" t="s">
        <v>108</v>
      </c>
      <c r="B384" s="151">
        <v>8710</v>
      </c>
      <c r="C384" s="151">
        <v>8690</v>
      </c>
      <c r="D384" s="151">
        <v>8930</v>
      </c>
    </row>
    <row r="385" spans="1:4" ht="25.5">
      <c r="A385" s="150" t="s">
        <v>109</v>
      </c>
      <c r="B385" s="150">
        <v>-0.247</v>
      </c>
      <c r="C385" s="150">
        <v>-0.27100000000000002</v>
      </c>
      <c r="D385" s="150">
        <v>-1.55E-2</v>
      </c>
    </row>
    <row r="386" spans="1:4" ht="25.5">
      <c r="A386" s="150" t="s">
        <v>1188</v>
      </c>
      <c r="B386" s="151">
        <v>-53200</v>
      </c>
      <c r="C386" s="151">
        <v>-53200</v>
      </c>
      <c r="D386" s="151">
        <v>-52600</v>
      </c>
    </row>
    <row r="387" spans="1:4">
      <c r="A387" s="150" t="s">
        <v>1189</v>
      </c>
      <c r="B387" s="151">
        <v>-6100</v>
      </c>
      <c r="C387" s="151">
        <v>-6110</v>
      </c>
      <c r="D387" s="151">
        <v>-6030</v>
      </c>
    </row>
    <row r="388" spans="1:4">
      <c r="A388" s="150" t="s">
        <v>107</v>
      </c>
      <c r="B388" s="151">
        <v>141</v>
      </c>
      <c r="C388" s="151">
        <v>140</v>
      </c>
      <c r="D388" s="151">
        <v>152</v>
      </c>
    </row>
    <row r="389" spans="1:4">
      <c r="A389" s="150" t="s">
        <v>1187</v>
      </c>
      <c r="B389" s="150">
        <v>0.88</v>
      </c>
      <c r="C389" s="150">
        <v>0.876</v>
      </c>
      <c r="D389" s="150">
        <v>0.91600000000000004</v>
      </c>
    </row>
    <row r="390" spans="1:4">
      <c r="A390" s="150" t="s">
        <v>1234</v>
      </c>
      <c r="B390" s="151">
        <v>4060</v>
      </c>
      <c r="C390" s="151">
        <v>4010</v>
      </c>
      <c r="D390" s="151">
        <v>4430</v>
      </c>
    </row>
    <row r="391" spans="1:4" ht="25.5">
      <c r="A391" s="150" t="s">
        <v>1124</v>
      </c>
      <c r="B391" s="151">
        <v>-342</v>
      </c>
      <c r="C391" s="151">
        <v>-343</v>
      </c>
      <c r="D391" s="151">
        <v>-328</v>
      </c>
    </row>
    <row r="392" spans="1:4">
      <c r="A392" s="150" t="s">
        <v>1125</v>
      </c>
      <c r="B392" s="151">
        <v>-138</v>
      </c>
      <c r="C392" s="151">
        <v>-140</v>
      </c>
      <c r="D392" s="151">
        <v>-119</v>
      </c>
    </row>
    <row r="393" spans="1:4">
      <c r="A393" s="150" t="s">
        <v>1237</v>
      </c>
      <c r="B393" s="151">
        <v>-4970</v>
      </c>
      <c r="C393" s="151">
        <v>-5000</v>
      </c>
      <c r="D393" s="151">
        <v>-4760</v>
      </c>
    </row>
    <row r="394" spans="1:4">
      <c r="A394" s="150" t="s">
        <v>1238</v>
      </c>
      <c r="B394" s="151">
        <v>3420</v>
      </c>
      <c r="C394" s="151">
        <v>3400</v>
      </c>
      <c r="D394" s="151">
        <v>3560</v>
      </c>
    </row>
    <row r="395" spans="1:4">
      <c r="A395" s="142" t="s">
        <v>646</v>
      </c>
      <c r="B395" s="143">
        <f>SUM(B384:B394)</f>
        <v>-48418.367000000006</v>
      </c>
      <c r="C395" s="143">
        <f>SUM(C384:C394)</f>
        <v>-48552.395000000004</v>
      </c>
      <c r="D395" s="143">
        <f>SUM(D384:D394)</f>
        <v>-46764.099500000004</v>
      </c>
    </row>
    <row r="396" spans="1:4" ht="25.5">
      <c r="A396" s="150" t="s">
        <v>52</v>
      </c>
      <c r="B396" s="167">
        <v>-48400</v>
      </c>
      <c r="C396" s="151">
        <v>-48600</v>
      </c>
      <c r="D396" s="167">
        <v>-46700</v>
      </c>
    </row>
    <row r="398" spans="1:4" ht="38.25">
      <c r="C398" s="195" t="s">
        <v>732</v>
      </c>
      <c r="D398" s="196" t="s">
        <v>733</v>
      </c>
    </row>
    <row r="399" spans="1:4">
      <c r="C399" s="155" t="s">
        <v>1058</v>
      </c>
      <c r="D399" s="194">
        <v>3570</v>
      </c>
    </row>
    <row r="400" spans="1:4">
      <c r="C400" s="155" t="s">
        <v>1059</v>
      </c>
      <c r="D400" s="194">
        <v>10600</v>
      </c>
    </row>
    <row r="401" spans="3:4">
      <c r="C401" s="155" t="s">
        <v>944</v>
      </c>
      <c r="D401" s="194">
        <v>4550</v>
      </c>
    </row>
    <row r="402" spans="3:4">
      <c r="C402" s="155" t="s">
        <v>734</v>
      </c>
      <c r="D402" s="194">
        <v>17500</v>
      </c>
    </row>
    <row r="403" spans="3:4">
      <c r="C403" s="155" t="s">
        <v>1061</v>
      </c>
      <c r="D403" s="194">
        <v>21700</v>
      </c>
    </row>
    <row r="404" spans="3:4">
      <c r="C404" s="195"/>
      <c r="D404" s="196"/>
    </row>
    <row r="405" spans="3:4">
      <c r="C405" s="155"/>
      <c r="D405" s="194"/>
    </row>
    <row r="406" spans="3:4">
      <c r="C406" s="155"/>
      <c r="D406" s="194"/>
    </row>
    <row r="407" spans="3:4">
      <c r="C407" s="155"/>
      <c r="D407" s="194"/>
    </row>
    <row r="408" spans="3:4">
      <c r="C408" s="155"/>
      <c r="D408" s="194"/>
    </row>
    <row r="409" spans="3:4">
      <c r="C409" s="155"/>
      <c r="D409" s="194"/>
    </row>
  </sheetData>
  <mergeCells count="6">
    <mergeCell ref="A325:F325"/>
    <mergeCell ref="A338:F338"/>
    <mergeCell ref="A265:F265"/>
    <mergeCell ref="A281:F281"/>
    <mergeCell ref="A294:F294"/>
    <mergeCell ref="A309:F309"/>
  </mergeCells>
  <phoneticPr fontId="5" type="noConversion"/>
  <pageMargins left="0.75" right="0.75" top="1" bottom="1" header="0.5" footer="0.5"/>
  <rowBreaks count="7" manualBreakCount="7">
    <brk id="44" max="16383" man="1"/>
    <brk id="88" max="16" man="1"/>
    <brk id="132" max="16" man="1"/>
    <brk id="176" max="16" man="1"/>
    <brk id="220" max="16" man="1"/>
    <brk id="264" max="16" man="1"/>
    <brk id="308" max="16" man="1"/>
  </rowBreaks>
  <colBreaks count="1" manualBreakCount="1">
    <brk id="8" max="351" man="1"/>
  </col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49"/>
  <sheetViews>
    <sheetView topLeftCell="A124" zoomScaleNormal="70" zoomScalePageLayoutView="70" workbookViewId="0">
      <selection activeCell="F156" sqref="F156"/>
    </sheetView>
  </sheetViews>
  <sheetFormatPr defaultColWidth="8.75" defaultRowHeight="14.25"/>
  <cols>
    <col min="4" max="4" width="11" customWidth="1"/>
    <col min="5" max="5" width="10.625" customWidth="1"/>
  </cols>
  <sheetData>
    <row r="1" spans="1:6" ht="30" customHeight="1">
      <c r="A1" s="349" t="s">
        <v>552</v>
      </c>
      <c r="B1" s="330"/>
      <c r="C1" s="330"/>
      <c r="D1" s="330"/>
      <c r="E1" s="330"/>
      <c r="F1" s="330"/>
    </row>
    <row r="2" spans="1:6" ht="38.25">
      <c r="A2" s="150" t="s">
        <v>1218</v>
      </c>
      <c r="B2" s="168" t="s">
        <v>438</v>
      </c>
      <c r="C2" s="168" t="s">
        <v>439</v>
      </c>
      <c r="D2" s="168" t="s">
        <v>551</v>
      </c>
    </row>
    <row r="3" spans="1:6">
      <c r="A3" s="150" t="s">
        <v>8</v>
      </c>
      <c r="B3" s="151">
        <v>0</v>
      </c>
      <c r="C3" s="151">
        <v>0</v>
      </c>
      <c r="D3" s="151">
        <v>0</v>
      </c>
    </row>
    <row r="4" spans="1:6" ht="25.5">
      <c r="A4" s="150" t="s">
        <v>78</v>
      </c>
      <c r="B4" s="151">
        <v>0</v>
      </c>
      <c r="C4" s="151">
        <v>0</v>
      </c>
      <c r="D4" s="151">
        <v>0</v>
      </c>
    </row>
    <row r="5" spans="1:6" ht="25.5">
      <c r="A5" s="150" t="s">
        <v>79</v>
      </c>
      <c r="B5" s="151">
        <v>0</v>
      </c>
      <c r="C5" s="151">
        <v>0</v>
      </c>
      <c r="D5" s="151">
        <v>0</v>
      </c>
    </row>
    <row r="6" spans="1:6" ht="25.5">
      <c r="A6" s="162" t="s">
        <v>86</v>
      </c>
      <c r="B6" s="151">
        <v>440</v>
      </c>
      <c r="C6" s="151">
        <v>880</v>
      </c>
      <c r="D6" s="151">
        <v>4430</v>
      </c>
    </row>
    <row r="7" spans="1:6" ht="25.5">
      <c r="A7" s="150" t="s">
        <v>11</v>
      </c>
      <c r="B7" s="151">
        <v>0</v>
      </c>
      <c r="C7" s="151">
        <v>0</v>
      </c>
      <c r="D7" s="151">
        <v>0</v>
      </c>
    </row>
    <row r="8" spans="1:6">
      <c r="A8" s="150" t="s">
        <v>87</v>
      </c>
      <c r="B8" s="151">
        <v>0</v>
      </c>
      <c r="C8" s="151">
        <v>0</v>
      </c>
      <c r="D8" s="151">
        <v>0</v>
      </c>
    </row>
    <row r="9" spans="1:6">
      <c r="A9" s="150" t="s">
        <v>88</v>
      </c>
      <c r="B9" s="151">
        <v>0</v>
      </c>
      <c r="C9" s="151">
        <v>0</v>
      </c>
      <c r="D9" s="151">
        <v>0</v>
      </c>
    </row>
    <row r="10" spans="1:6" ht="25.5">
      <c r="A10" s="150" t="s">
        <v>89</v>
      </c>
      <c r="B10" s="151">
        <v>0</v>
      </c>
      <c r="C10" s="151">
        <v>0</v>
      </c>
      <c r="D10" s="151">
        <v>0</v>
      </c>
    </row>
    <row r="11" spans="1:6" ht="38.25">
      <c r="A11" s="150" t="s">
        <v>90</v>
      </c>
      <c r="B11" s="151">
        <v>0</v>
      </c>
      <c r="C11" s="151">
        <v>0</v>
      </c>
      <c r="D11" s="151">
        <v>0</v>
      </c>
    </row>
    <row r="12" spans="1:6">
      <c r="A12" s="150" t="s">
        <v>1182</v>
      </c>
      <c r="B12" s="151">
        <v>101000</v>
      </c>
      <c r="C12" s="151">
        <v>101000</v>
      </c>
      <c r="D12" s="151">
        <v>101000</v>
      </c>
    </row>
    <row r="13" spans="1:6">
      <c r="A13" s="150" t="s">
        <v>1224</v>
      </c>
      <c r="B13" s="151">
        <v>2280</v>
      </c>
      <c r="C13" s="151">
        <v>2280</v>
      </c>
      <c r="D13" s="151">
        <v>2280</v>
      </c>
    </row>
    <row r="14" spans="1:6">
      <c r="A14" s="150" t="s">
        <v>91</v>
      </c>
      <c r="B14" s="151">
        <v>18400</v>
      </c>
      <c r="C14" s="151">
        <v>18400</v>
      </c>
      <c r="D14" s="151">
        <v>18400</v>
      </c>
    </row>
    <row r="15" spans="1:6">
      <c r="A15" s="142" t="s">
        <v>646</v>
      </c>
      <c r="B15" s="143">
        <f>SUM(B3:B14)</f>
        <v>122120</v>
      </c>
      <c r="C15" s="143">
        <f>SUM(C3:C14)</f>
        <v>122560</v>
      </c>
      <c r="D15" s="143">
        <f>SUM(D3:D14)</f>
        <v>126110</v>
      </c>
    </row>
    <row r="16" spans="1:6" ht="25.5">
      <c r="A16" s="150" t="s">
        <v>52</v>
      </c>
      <c r="B16" s="167">
        <v>122000</v>
      </c>
      <c r="C16" s="151">
        <v>1220</v>
      </c>
      <c r="D16" s="167">
        <v>126000</v>
      </c>
    </row>
    <row r="17" spans="1:6" ht="24.75" customHeight="1">
      <c r="A17" s="349" t="s">
        <v>683</v>
      </c>
      <c r="B17" s="330"/>
      <c r="C17" s="330"/>
      <c r="D17" s="330"/>
      <c r="E17" s="330"/>
      <c r="F17" s="330"/>
    </row>
    <row r="18" spans="1:6" ht="38.25">
      <c r="A18" s="150" t="s">
        <v>430</v>
      </c>
      <c r="B18" s="168" t="s">
        <v>438</v>
      </c>
      <c r="C18" s="168" t="s">
        <v>439</v>
      </c>
      <c r="D18" s="168" t="s">
        <v>551</v>
      </c>
    </row>
    <row r="19" spans="1:6">
      <c r="A19" s="150" t="s">
        <v>108</v>
      </c>
      <c r="B19" s="170">
        <v>21.3</v>
      </c>
      <c r="C19" s="170">
        <v>21.3</v>
      </c>
      <c r="D19" s="170">
        <v>21.4</v>
      </c>
    </row>
    <row r="20" spans="1:6" ht="25.5">
      <c r="A20" s="150" t="s">
        <v>109</v>
      </c>
      <c r="B20" s="170">
        <v>0.126</v>
      </c>
      <c r="C20" s="170">
        <v>0.126</v>
      </c>
      <c r="D20" s="170">
        <v>0.13200000000000001</v>
      </c>
    </row>
    <row r="21" spans="1:6" ht="25.5">
      <c r="A21" s="150" t="s">
        <v>1188</v>
      </c>
      <c r="B21" s="170">
        <v>121</v>
      </c>
      <c r="C21" s="170">
        <v>122</v>
      </c>
      <c r="D21" s="170">
        <v>12.5</v>
      </c>
    </row>
    <row r="22" spans="1:6" ht="25.5">
      <c r="A22" s="150" t="s">
        <v>1189</v>
      </c>
      <c r="B22" s="170">
        <v>35.1</v>
      </c>
      <c r="C22" s="170">
        <v>35.200000000000003</v>
      </c>
      <c r="D22" s="170">
        <v>36</v>
      </c>
    </row>
    <row r="23" spans="1:6">
      <c r="A23" s="150" t="s">
        <v>107</v>
      </c>
      <c r="B23" s="170">
        <v>0.65200000000000002</v>
      </c>
      <c r="C23" s="170">
        <v>0.65200000000000002</v>
      </c>
      <c r="D23" s="170">
        <v>0.65400000000000003</v>
      </c>
    </row>
    <row r="24" spans="1:6" ht="25.5">
      <c r="A24" s="150" t="s">
        <v>1187</v>
      </c>
      <c r="B24" s="170">
        <v>1.84E-2</v>
      </c>
      <c r="C24" s="170">
        <v>1.8499999999999999E-2</v>
      </c>
      <c r="D24" s="170">
        <v>1.9E-2</v>
      </c>
    </row>
    <row r="25" spans="1:6">
      <c r="A25" s="150" t="s">
        <v>1234</v>
      </c>
      <c r="B25" s="170">
        <v>13.5</v>
      </c>
      <c r="C25" s="170">
        <v>13.5</v>
      </c>
      <c r="D25" s="170">
        <v>13.6</v>
      </c>
    </row>
    <row r="26" spans="1:6" ht="51">
      <c r="A26" s="150" t="s">
        <v>1124</v>
      </c>
      <c r="B26" s="170">
        <v>4.33</v>
      </c>
      <c r="C26" s="170">
        <v>4.3600000000000003</v>
      </c>
      <c r="D26" s="170">
        <v>4.58</v>
      </c>
    </row>
    <row r="27" spans="1:6">
      <c r="A27" s="150" t="s">
        <v>1125</v>
      </c>
      <c r="B27" s="170">
        <v>5.82</v>
      </c>
      <c r="C27" s="170">
        <v>5.82</v>
      </c>
      <c r="D27" s="170">
        <v>5.9</v>
      </c>
    </row>
    <row r="28" spans="1:6">
      <c r="A28" s="150" t="s">
        <v>1237</v>
      </c>
      <c r="B28" s="170">
        <v>41.2</v>
      </c>
      <c r="C28" s="170">
        <v>41.3</v>
      </c>
      <c r="D28" s="170">
        <v>41.3</v>
      </c>
    </row>
    <row r="29" spans="1:6" ht="25.5">
      <c r="A29" s="150" t="s">
        <v>1238</v>
      </c>
      <c r="B29" s="170">
        <v>163</v>
      </c>
      <c r="C29" s="170">
        <v>164</v>
      </c>
      <c r="D29" s="170">
        <v>172</v>
      </c>
    </row>
    <row r="30" spans="1:6" ht="30" customHeight="1">
      <c r="A30" s="349" t="s">
        <v>947</v>
      </c>
      <c r="B30" s="330"/>
      <c r="C30" s="330"/>
      <c r="D30" s="330"/>
      <c r="E30" s="330"/>
      <c r="F30" s="330"/>
    </row>
    <row r="31" spans="1:6" ht="38.25">
      <c r="A31" s="150" t="s">
        <v>430</v>
      </c>
      <c r="B31" s="168" t="s">
        <v>438</v>
      </c>
      <c r="C31" s="168" t="s">
        <v>439</v>
      </c>
      <c r="D31" s="168" t="s">
        <v>551</v>
      </c>
    </row>
    <row r="32" spans="1:6">
      <c r="A32" s="150" t="s">
        <v>108</v>
      </c>
      <c r="B32" s="151">
        <v>8510</v>
      </c>
      <c r="C32" s="151">
        <v>8520</v>
      </c>
      <c r="D32" s="151">
        <v>8550</v>
      </c>
    </row>
    <row r="33" spans="1:6" ht="25.5">
      <c r="A33" s="150" t="s">
        <v>109</v>
      </c>
      <c r="B33" s="150">
        <v>50.2</v>
      </c>
      <c r="C33" s="150">
        <v>50.5</v>
      </c>
      <c r="D33" s="150">
        <v>52.8</v>
      </c>
    </row>
    <row r="34" spans="1:6" ht="25.5">
      <c r="A34" s="150" t="s">
        <v>1188</v>
      </c>
      <c r="B34" s="151">
        <v>48600</v>
      </c>
      <c r="C34" s="151">
        <v>48800</v>
      </c>
      <c r="D34" s="151">
        <v>50100</v>
      </c>
    </row>
    <row r="35" spans="1:6" ht="25.5">
      <c r="A35" s="150" t="s">
        <v>1189</v>
      </c>
      <c r="B35" s="151">
        <v>14100</v>
      </c>
      <c r="C35" s="151">
        <v>14100</v>
      </c>
      <c r="D35" s="151">
        <v>14400</v>
      </c>
    </row>
    <row r="36" spans="1:6">
      <c r="A36" s="150" t="s">
        <v>107</v>
      </c>
      <c r="B36" s="151">
        <v>261</v>
      </c>
      <c r="C36" s="151">
        <v>261</v>
      </c>
      <c r="D36" s="151">
        <v>262</v>
      </c>
    </row>
    <row r="37" spans="1:6" ht="25.5">
      <c r="A37" s="150" t="s">
        <v>1187</v>
      </c>
      <c r="B37" s="150">
        <v>7.36</v>
      </c>
      <c r="C37" s="150">
        <v>7.36</v>
      </c>
      <c r="D37" s="150">
        <v>7.63</v>
      </c>
    </row>
    <row r="38" spans="1:6">
      <c r="A38" s="150" t="s">
        <v>1234</v>
      </c>
      <c r="B38" s="151">
        <v>5380</v>
      </c>
      <c r="C38" s="151">
        <v>5390</v>
      </c>
      <c r="D38" s="151">
        <v>5440</v>
      </c>
    </row>
    <row r="39" spans="1:6" ht="51">
      <c r="A39" s="150" t="s">
        <v>1124</v>
      </c>
      <c r="B39" s="151">
        <v>1730</v>
      </c>
      <c r="C39" s="151">
        <v>1740</v>
      </c>
      <c r="D39" s="151">
        <v>1830</v>
      </c>
    </row>
    <row r="40" spans="1:6">
      <c r="A40" s="150" t="s">
        <v>1125</v>
      </c>
      <c r="B40" s="151">
        <v>2330</v>
      </c>
      <c r="C40" s="151">
        <v>2330</v>
      </c>
      <c r="D40" s="151">
        <v>2360</v>
      </c>
    </row>
    <row r="41" spans="1:6">
      <c r="A41" s="150" t="s">
        <v>1237</v>
      </c>
      <c r="B41" s="151">
        <v>8250</v>
      </c>
      <c r="C41" s="151">
        <v>8250</v>
      </c>
      <c r="D41" s="151">
        <v>8270</v>
      </c>
    </row>
    <row r="42" spans="1:6" ht="25.5">
      <c r="A42" s="150" t="s">
        <v>1238</v>
      </c>
      <c r="B42" s="151">
        <v>32600</v>
      </c>
      <c r="C42" s="151">
        <v>32800</v>
      </c>
      <c r="D42" s="151">
        <v>34500</v>
      </c>
    </row>
    <row r="43" spans="1:6">
      <c r="A43" s="142" t="s">
        <v>646</v>
      </c>
      <c r="B43" s="143">
        <f>SUM(B32:B42)</f>
        <v>121818.56</v>
      </c>
      <c r="C43" s="143">
        <f>SUM(C32:C42)</f>
        <v>122248.86</v>
      </c>
      <c r="D43" s="143">
        <f>SUM(D32:D42)</f>
        <v>125772.43000000001</v>
      </c>
    </row>
    <row r="44" spans="1:6" ht="25.5">
      <c r="A44" s="150" t="s">
        <v>52</v>
      </c>
      <c r="B44" s="167">
        <v>122000</v>
      </c>
      <c r="C44" s="151">
        <v>1220</v>
      </c>
      <c r="D44" s="167">
        <v>126000</v>
      </c>
    </row>
    <row r="45" spans="1:6" ht="27.75" customHeight="1">
      <c r="A45" s="349" t="s">
        <v>819</v>
      </c>
      <c r="B45" s="330"/>
      <c r="C45" s="330"/>
      <c r="D45" s="330"/>
      <c r="E45" s="330"/>
      <c r="F45" s="330"/>
    </row>
    <row r="46" spans="1:6" ht="38.25">
      <c r="A46" s="150" t="s">
        <v>1218</v>
      </c>
      <c r="B46" s="168" t="s">
        <v>438</v>
      </c>
      <c r="C46" s="168" t="s">
        <v>439</v>
      </c>
      <c r="D46" s="168" t="s">
        <v>948</v>
      </c>
      <c r="E46" s="168" t="s">
        <v>551</v>
      </c>
    </row>
    <row r="47" spans="1:6">
      <c r="A47" s="150" t="s">
        <v>8</v>
      </c>
      <c r="B47" s="151">
        <v>0</v>
      </c>
      <c r="C47" s="151">
        <v>0</v>
      </c>
      <c r="D47" s="151">
        <v>0</v>
      </c>
      <c r="E47" s="151">
        <v>0</v>
      </c>
    </row>
    <row r="48" spans="1:6" ht="25.5">
      <c r="A48" s="150" t="s">
        <v>78</v>
      </c>
      <c r="B48" s="151">
        <v>1000</v>
      </c>
      <c r="C48" s="151">
        <v>1000</v>
      </c>
      <c r="D48" s="151">
        <v>1000</v>
      </c>
      <c r="E48" s="151">
        <v>1000</v>
      </c>
    </row>
    <row r="49" spans="1:6" ht="25.5">
      <c r="A49" s="150" t="s">
        <v>79</v>
      </c>
      <c r="B49" s="151">
        <v>923</v>
      </c>
      <c r="C49" s="151">
        <v>923</v>
      </c>
      <c r="D49" s="151">
        <v>923</v>
      </c>
      <c r="E49" s="151">
        <v>923</v>
      </c>
    </row>
    <row r="50" spans="1:6" ht="25.5">
      <c r="A50" s="162" t="s">
        <v>86</v>
      </c>
      <c r="B50" s="151">
        <v>1506</v>
      </c>
      <c r="C50" s="151">
        <v>2716</v>
      </c>
      <c r="D50" s="151">
        <v>5126</v>
      </c>
      <c r="E50" s="151">
        <v>12310</v>
      </c>
    </row>
    <row r="51" spans="1:6" ht="25.5">
      <c r="A51" s="150" t="s">
        <v>11</v>
      </c>
      <c r="B51" s="151">
        <v>4070</v>
      </c>
      <c r="C51" s="151">
        <v>4070</v>
      </c>
      <c r="D51" s="151">
        <v>4070</v>
      </c>
      <c r="E51" s="151">
        <v>4070</v>
      </c>
    </row>
    <row r="52" spans="1:6">
      <c r="A52" s="150" t="s">
        <v>87</v>
      </c>
      <c r="B52" s="151">
        <v>3234</v>
      </c>
      <c r="C52" s="151">
        <v>3234</v>
      </c>
      <c r="D52" s="151">
        <v>3234</v>
      </c>
      <c r="E52" s="151">
        <v>3234</v>
      </c>
    </row>
    <row r="53" spans="1:6">
      <c r="A53" s="150" t="s">
        <v>88</v>
      </c>
      <c r="B53" s="151">
        <v>4550</v>
      </c>
      <c r="C53" s="151">
        <v>4550</v>
      </c>
      <c r="D53" s="151">
        <v>4550</v>
      </c>
      <c r="E53" s="151">
        <v>4550</v>
      </c>
    </row>
    <row r="54" spans="1:6" ht="25.5">
      <c r="A54" s="150" t="s">
        <v>89</v>
      </c>
      <c r="B54" s="151">
        <v>4169</v>
      </c>
      <c r="C54" s="151">
        <v>4169</v>
      </c>
      <c r="D54" s="151">
        <v>4169</v>
      </c>
      <c r="E54" s="151">
        <v>4169</v>
      </c>
    </row>
    <row r="55" spans="1:6" ht="38.25">
      <c r="A55" s="150" t="s">
        <v>90</v>
      </c>
      <c r="B55" s="151">
        <v>-73600</v>
      </c>
      <c r="C55" s="151">
        <v>-73600</v>
      </c>
      <c r="D55" s="151">
        <v>-73600</v>
      </c>
      <c r="E55" s="151">
        <v>-73600</v>
      </c>
    </row>
    <row r="56" spans="1:6">
      <c r="A56" s="150" t="s">
        <v>1182</v>
      </c>
      <c r="B56" s="151">
        <v>5252</v>
      </c>
      <c r="C56" s="151">
        <v>5252</v>
      </c>
      <c r="D56" s="151">
        <v>5252</v>
      </c>
      <c r="E56" s="151">
        <v>5252</v>
      </c>
    </row>
    <row r="57" spans="1:6">
      <c r="A57" s="150" t="s">
        <v>1224</v>
      </c>
      <c r="B57" s="151">
        <v>320.7</v>
      </c>
      <c r="C57" s="151">
        <v>320.7</v>
      </c>
      <c r="D57" s="151">
        <v>320.7</v>
      </c>
      <c r="E57" s="151">
        <v>320.7</v>
      </c>
    </row>
    <row r="58" spans="1:6">
      <c r="A58" s="150" t="s">
        <v>91</v>
      </c>
      <c r="B58" s="151">
        <v>0</v>
      </c>
      <c r="C58" s="151">
        <v>0</v>
      </c>
      <c r="D58" s="151">
        <v>0</v>
      </c>
      <c r="E58" s="151">
        <v>0</v>
      </c>
    </row>
    <row r="59" spans="1:6">
      <c r="A59" s="142" t="s">
        <v>646</v>
      </c>
      <c r="B59" s="143">
        <f>SUM(B47:B58)</f>
        <v>-48575.3</v>
      </c>
      <c r="C59" s="143">
        <f>SUM(C48:C58)</f>
        <v>-47365.3</v>
      </c>
      <c r="D59" s="143">
        <f>SUM(D48:D58)</f>
        <v>-44955.3</v>
      </c>
      <c r="E59" s="143">
        <f>SUM(E48:E58)</f>
        <v>-37771.300000000003</v>
      </c>
    </row>
    <row r="60" spans="1:6" ht="25.5">
      <c r="A60" s="150" t="s">
        <v>52</v>
      </c>
      <c r="B60" s="167">
        <v>-48400</v>
      </c>
      <c r="C60" s="151">
        <v>-47200</v>
      </c>
      <c r="D60" s="167">
        <v>-44800</v>
      </c>
      <c r="E60" s="167">
        <v>-37600</v>
      </c>
    </row>
    <row r="61" spans="1:6" ht="29.25" customHeight="1">
      <c r="A61" s="349" t="s">
        <v>821</v>
      </c>
      <c r="B61" s="330"/>
      <c r="C61" s="330"/>
      <c r="D61" s="330"/>
      <c r="E61" s="330"/>
      <c r="F61" s="330"/>
    </row>
    <row r="62" spans="1:6" ht="38.25">
      <c r="A62" s="150" t="s">
        <v>430</v>
      </c>
      <c r="B62" s="168" t="s">
        <v>438</v>
      </c>
      <c r="C62" s="168" t="s">
        <v>439</v>
      </c>
      <c r="D62" s="168" t="s">
        <v>948</v>
      </c>
      <c r="E62" s="168" t="s">
        <v>551</v>
      </c>
    </row>
    <row r="63" spans="1:6">
      <c r="A63" s="150" t="s">
        <v>108</v>
      </c>
      <c r="B63" s="170">
        <v>21.8</v>
      </c>
      <c r="C63" s="170">
        <v>21.8</v>
      </c>
      <c r="D63" s="170">
        <v>21.9</v>
      </c>
      <c r="E63" s="170">
        <v>22</v>
      </c>
    </row>
    <row r="64" spans="1:6" ht="25.5">
      <c r="A64" s="150" t="s">
        <v>109</v>
      </c>
      <c r="B64" s="170">
        <v>-6.1700000000000004E-4</v>
      </c>
      <c r="C64" s="170">
        <v>-1.34E-4</v>
      </c>
      <c r="D64" s="170">
        <v>5.2500000000000003E-3</v>
      </c>
      <c r="E64" s="170">
        <v>1.7000000000000001E-2</v>
      </c>
    </row>
    <row r="65" spans="1:6" ht="25.5">
      <c r="A65" s="150" t="s">
        <v>1188</v>
      </c>
      <c r="B65" s="170">
        <v>-133</v>
      </c>
      <c r="C65" s="170">
        <v>-132</v>
      </c>
      <c r="D65" s="170">
        <v>-130</v>
      </c>
      <c r="E65" s="170">
        <v>-123</v>
      </c>
    </row>
    <row r="66" spans="1:6" ht="25.5">
      <c r="A66" s="150" t="s">
        <v>1189</v>
      </c>
      <c r="B66" s="170">
        <v>-15.3</v>
      </c>
      <c r="C66" s="170">
        <v>-15</v>
      </c>
      <c r="D66" s="170">
        <v>-14.5</v>
      </c>
      <c r="E66" s="170">
        <v>-13</v>
      </c>
    </row>
    <row r="67" spans="1:6">
      <c r="A67" s="150" t="s">
        <v>107</v>
      </c>
      <c r="B67" s="170">
        <v>0.35199999999999998</v>
      </c>
      <c r="C67" s="170">
        <v>0.35199999999999998</v>
      </c>
      <c r="D67" s="170">
        <v>0.35399999999999998</v>
      </c>
      <c r="E67" s="170">
        <v>0.35799999999999998</v>
      </c>
    </row>
    <row r="68" spans="1:6" ht="25.5">
      <c r="A68" s="150" t="s">
        <v>1187</v>
      </c>
      <c r="B68" s="170">
        <v>2.2000000000000001E-3</v>
      </c>
      <c r="C68" s="170">
        <v>2.3999999999999998E-3</v>
      </c>
      <c r="D68" s="170">
        <v>2.81E-3</v>
      </c>
      <c r="E68" s="170">
        <v>4.0499999999999998E-3</v>
      </c>
    </row>
    <row r="69" spans="1:6">
      <c r="A69" s="150" t="s">
        <v>1234</v>
      </c>
      <c r="B69" s="170">
        <v>10.199999999999999</v>
      </c>
      <c r="C69" s="170">
        <v>10.199999999999999</v>
      </c>
      <c r="D69" s="170">
        <v>10.3</v>
      </c>
      <c r="E69" s="170">
        <v>10.6</v>
      </c>
    </row>
    <row r="70" spans="1:6" ht="51">
      <c r="A70" s="150" t="s">
        <v>1124</v>
      </c>
      <c r="B70" s="170">
        <v>-0.85399999999999998</v>
      </c>
      <c r="C70" s="170">
        <v>-0.77600000000000002</v>
      </c>
      <c r="D70" s="170">
        <v>-0.621</v>
      </c>
      <c r="E70" s="170">
        <v>-0.154</v>
      </c>
    </row>
    <row r="71" spans="1:6">
      <c r="A71" s="150" t="s">
        <v>1125</v>
      </c>
      <c r="B71" s="170">
        <v>-0.34399999999999997</v>
      </c>
      <c r="C71" s="170">
        <v>-0.33179999999999998</v>
      </c>
      <c r="D71" s="170">
        <v>-0.26600000000000001</v>
      </c>
      <c r="E71" s="170">
        <v>-0.109</v>
      </c>
    </row>
    <row r="72" spans="1:6">
      <c r="A72" s="150" t="s">
        <v>1237</v>
      </c>
      <c r="B72" s="170">
        <v>-24.9</v>
      </c>
      <c r="C72" s="170">
        <v>-24.8</v>
      </c>
      <c r="D72" s="170">
        <v>-24.8</v>
      </c>
      <c r="E72" s="170">
        <v>-24.6</v>
      </c>
    </row>
    <row r="73" spans="1:6" ht="25.5">
      <c r="A73" s="150" t="s">
        <v>1238</v>
      </c>
      <c r="B73" s="170">
        <v>17.100000000000001</v>
      </c>
      <c r="C73" s="170">
        <v>19.899999999999999</v>
      </c>
      <c r="D73" s="170">
        <v>25.7</v>
      </c>
      <c r="E73" s="170">
        <v>42.8</v>
      </c>
    </row>
    <row r="74" spans="1:6" ht="27.75" customHeight="1">
      <c r="A74" s="349" t="s">
        <v>711</v>
      </c>
      <c r="B74" s="330"/>
      <c r="C74" s="330"/>
      <c r="D74" s="330"/>
      <c r="E74" s="330"/>
      <c r="F74" s="330"/>
    </row>
    <row r="75" spans="1:6" ht="38.25">
      <c r="A75" s="150" t="s">
        <v>430</v>
      </c>
      <c r="B75" s="168" t="s">
        <v>438</v>
      </c>
      <c r="C75" s="168" t="s">
        <v>439</v>
      </c>
      <c r="D75" s="168" t="s">
        <v>948</v>
      </c>
      <c r="E75" s="168" t="s">
        <v>551</v>
      </c>
    </row>
    <row r="76" spans="1:6">
      <c r="A76" s="150" t="s">
        <v>108</v>
      </c>
      <c r="B76" s="151">
        <v>8710</v>
      </c>
      <c r="C76" s="151">
        <v>8720</v>
      </c>
      <c r="D76" s="151">
        <v>8750</v>
      </c>
      <c r="E76" s="151">
        <v>8820</v>
      </c>
    </row>
    <row r="77" spans="1:6" ht="25.5">
      <c r="A77" s="150" t="s">
        <v>109</v>
      </c>
      <c r="B77" s="150">
        <v>-0.247</v>
      </c>
      <c r="C77" s="150">
        <v>0.53500000000000003</v>
      </c>
      <c r="D77" s="150">
        <v>2.1</v>
      </c>
      <c r="E77" s="150">
        <v>6.79</v>
      </c>
    </row>
    <row r="78" spans="1:6" ht="25.5">
      <c r="A78" s="150" t="s">
        <v>1188</v>
      </c>
      <c r="B78" s="151">
        <v>-53200</v>
      </c>
      <c r="C78" s="151">
        <v>-52700</v>
      </c>
      <c r="D78" s="151">
        <v>-51800</v>
      </c>
      <c r="E78" s="151">
        <v>-49100</v>
      </c>
    </row>
    <row r="79" spans="1:6" ht="25.5">
      <c r="A79" s="150" t="s">
        <v>1189</v>
      </c>
      <c r="B79" s="151">
        <v>-6100</v>
      </c>
      <c r="C79" s="151">
        <v>-6000</v>
      </c>
      <c r="D79" s="151">
        <v>-5800</v>
      </c>
      <c r="E79" s="151">
        <v>-5190</v>
      </c>
    </row>
    <row r="80" spans="1:6">
      <c r="A80" s="150" t="s">
        <v>107</v>
      </c>
      <c r="B80" s="151">
        <v>141</v>
      </c>
      <c r="C80" s="151">
        <v>141</v>
      </c>
      <c r="D80" s="151">
        <v>142</v>
      </c>
      <c r="E80" s="151">
        <v>143</v>
      </c>
    </row>
    <row r="81" spans="1:5" ht="25.5">
      <c r="A81" s="150" t="s">
        <v>1187</v>
      </c>
      <c r="B81" s="150">
        <v>0.88</v>
      </c>
      <c r="C81" s="150">
        <v>0.96199999999999997</v>
      </c>
      <c r="D81" s="150">
        <v>1.1299999999999999</v>
      </c>
      <c r="E81" s="150">
        <v>1.62</v>
      </c>
    </row>
    <row r="82" spans="1:5">
      <c r="A82" s="150" t="s">
        <v>1234</v>
      </c>
      <c r="B82" s="151">
        <v>4060</v>
      </c>
      <c r="C82" s="151">
        <v>4080</v>
      </c>
      <c r="D82" s="151">
        <v>4120</v>
      </c>
      <c r="E82" s="151">
        <v>4230</v>
      </c>
    </row>
    <row r="83" spans="1:5" ht="51">
      <c r="A83" s="150" t="s">
        <v>1124</v>
      </c>
      <c r="B83" s="151">
        <v>-342</v>
      </c>
      <c r="C83" s="151">
        <v>-310</v>
      </c>
      <c r="D83" s="151">
        <v>-248</v>
      </c>
      <c r="E83" s="151">
        <v>-61.6</v>
      </c>
    </row>
    <row r="84" spans="1:5">
      <c r="A84" s="150" t="s">
        <v>1125</v>
      </c>
      <c r="B84" s="151">
        <v>-138</v>
      </c>
      <c r="C84" s="151">
        <v>-127</v>
      </c>
      <c r="D84" s="151">
        <v>-106</v>
      </c>
      <c r="E84" s="151">
        <v>-43.7</v>
      </c>
    </row>
    <row r="85" spans="1:5">
      <c r="A85" s="150" t="s">
        <v>1237</v>
      </c>
      <c r="B85" s="151">
        <v>-4970</v>
      </c>
      <c r="C85" s="151">
        <v>-4970</v>
      </c>
      <c r="D85" s="151">
        <v>-4960</v>
      </c>
      <c r="E85" s="151">
        <v>-4930</v>
      </c>
    </row>
    <row r="86" spans="1:5" ht="25.5">
      <c r="A86" s="150" t="s">
        <v>1238</v>
      </c>
      <c r="B86" s="151">
        <v>3420</v>
      </c>
      <c r="C86" s="151">
        <v>3990</v>
      </c>
      <c r="D86" s="151">
        <v>5130</v>
      </c>
      <c r="E86" s="151">
        <v>8560</v>
      </c>
    </row>
    <row r="87" spans="1:5">
      <c r="A87" s="142" t="s">
        <v>646</v>
      </c>
      <c r="B87" s="143">
        <f>SUM(B76:B86)</f>
        <v>-48418.367000000006</v>
      </c>
      <c r="C87" s="143">
        <f>SUM(C76:C86)</f>
        <v>-47174.502999999997</v>
      </c>
      <c r="D87" s="143">
        <f>SUM(D76:D86)</f>
        <v>-44768.770000000004</v>
      </c>
      <c r="E87" s="143">
        <f>SUM(E76:E86)</f>
        <v>-37563.889999999992</v>
      </c>
    </row>
    <row r="88" spans="1:5" ht="25.5">
      <c r="A88" s="150" t="s">
        <v>52</v>
      </c>
      <c r="B88" s="167">
        <v>-48400</v>
      </c>
      <c r="C88" s="151">
        <v>-47200</v>
      </c>
      <c r="D88" s="167">
        <v>-44800</v>
      </c>
      <c r="E88" s="167">
        <v>-37600</v>
      </c>
    </row>
    <row r="89" spans="1:5" ht="29.25" customHeight="1">
      <c r="A89" s="342" t="s">
        <v>829</v>
      </c>
      <c r="B89" s="343"/>
      <c r="C89" s="343"/>
      <c r="D89" s="55"/>
    </row>
    <row r="90" spans="1:5" ht="25.5">
      <c r="A90" s="158" t="s">
        <v>950</v>
      </c>
      <c r="B90" s="191" t="s">
        <v>949</v>
      </c>
    </row>
    <row r="91" spans="1:5" ht="15">
      <c r="A91" s="192">
        <v>6</v>
      </c>
      <c r="B91" s="192">
        <v>440</v>
      </c>
    </row>
    <row r="92" spans="1:5" ht="15">
      <c r="A92" s="192">
        <v>12</v>
      </c>
      <c r="B92" s="192">
        <v>880</v>
      </c>
    </row>
    <row r="93" spans="1:5" ht="15">
      <c r="A93" s="192">
        <v>16.399999999999999</v>
      </c>
      <c r="B93" s="193">
        <v>1200</v>
      </c>
    </row>
    <row r="94" spans="1:5" ht="15">
      <c r="A94" s="192">
        <v>32.799999999999997</v>
      </c>
      <c r="B94" s="193">
        <v>2400</v>
      </c>
    </row>
    <row r="95" spans="1:5" ht="15">
      <c r="A95" s="192">
        <v>60</v>
      </c>
      <c r="B95" s="193">
        <v>4400</v>
      </c>
    </row>
    <row r="96" spans="1:5" ht="15">
      <c r="A96" s="192">
        <v>65.599999999999994</v>
      </c>
      <c r="B96" s="193">
        <v>4800</v>
      </c>
    </row>
    <row r="97" spans="1:6" ht="15">
      <c r="A97" s="192">
        <v>164</v>
      </c>
      <c r="B97" s="193">
        <v>12000</v>
      </c>
    </row>
    <row r="106" spans="1:6" ht="30.75" customHeight="1">
      <c r="A106" s="349" t="s">
        <v>951</v>
      </c>
      <c r="B106" s="330"/>
      <c r="C106" s="330"/>
      <c r="D106" s="330"/>
      <c r="E106" s="330"/>
      <c r="F106" s="330"/>
    </row>
    <row r="107" spans="1:6" ht="38.25">
      <c r="A107" s="150" t="s">
        <v>1218</v>
      </c>
      <c r="B107" s="168" t="s">
        <v>438</v>
      </c>
      <c r="C107" s="168" t="s">
        <v>439</v>
      </c>
      <c r="D107" s="168" t="s">
        <v>948</v>
      </c>
      <c r="E107" s="168" t="s">
        <v>551</v>
      </c>
    </row>
    <row r="108" spans="1:6">
      <c r="A108" s="150" t="s">
        <v>8</v>
      </c>
      <c r="B108" s="151">
        <v>0</v>
      </c>
      <c r="C108" s="151">
        <v>0</v>
      </c>
      <c r="D108" s="151">
        <v>0</v>
      </c>
      <c r="E108" s="151">
        <v>0</v>
      </c>
    </row>
    <row r="109" spans="1:6" ht="25.5">
      <c r="A109" s="150" t="s">
        <v>78</v>
      </c>
      <c r="B109" s="151">
        <v>1000</v>
      </c>
      <c r="C109" s="151">
        <v>1000</v>
      </c>
      <c r="D109" s="151">
        <v>1000</v>
      </c>
      <c r="E109" s="151">
        <v>1000</v>
      </c>
    </row>
    <row r="110" spans="1:6" ht="25.5">
      <c r="A110" s="150" t="s">
        <v>79</v>
      </c>
      <c r="B110" s="151">
        <v>923</v>
      </c>
      <c r="C110" s="151">
        <v>923</v>
      </c>
      <c r="D110" s="151">
        <v>923</v>
      </c>
      <c r="E110" s="151">
        <v>923</v>
      </c>
    </row>
    <row r="111" spans="1:6" ht="25.5">
      <c r="A111" s="162" t="s">
        <v>86</v>
      </c>
      <c r="B111" s="151">
        <v>1503</v>
      </c>
      <c r="C111" s="151">
        <v>2440</v>
      </c>
      <c r="D111" s="151">
        <v>5125</v>
      </c>
      <c r="E111" s="151">
        <v>12303</v>
      </c>
    </row>
    <row r="112" spans="1:6" ht="25.5">
      <c r="A112" s="150" t="s">
        <v>11</v>
      </c>
      <c r="B112" s="151">
        <v>4070</v>
      </c>
      <c r="C112" s="151">
        <v>4070</v>
      </c>
      <c r="D112" s="151">
        <v>4070</v>
      </c>
      <c r="E112" s="151">
        <v>4070</v>
      </c>
    </row>
    <row r="113" spans="1:6">
      <c r="A113" s="150" t="s">
        <v>87</v>
      </c>
      <c r="B113" s="151">
        <v>3234</v>
      </c>
      <c r="C113" s="151">
        <v>3234</v>
      </c>
      <c r="D113" s="151">
        <v>3234</v>
      </c>
      <c r="E113" s="151">
        <v>3234</v>
      </c>
    </row>
    <row r="114" spans="1:6">
      <c r="A114" s="150" t="s">
        <v>88</v>
      </c>
      <c r="B114" s="151">
        <v>4550</v>
      </c>
      <c r="C114" s="151">
        <v>4550</v>
      </c>
      <c r="D114" s="151">
        <v>4550</v>
      </c>
      <c r="E114" s="151">
        <v>4550</v>
      </c>
    </row>
    <row r="115" spans="1:6" ht="25.5">
      <c r="A115" s="150" t="s">
        <v>89</v>
      </c>
      <c r="B115" s="151">
        <v>4169</v>
      </c>
      <c r="C115" s="151">
        <v>4169</v>
      </c>
      <c r="D115" s="151">
        <v>4169</v>
      </c>
      <c r="E115" s="151">
        <v>4169</v>
      </c>
    </row>
    <row r="116" spans="1:6" ht="38.25">
      <c r="A116" s="150" t="s">
        <v>90</v>
      </c>
      <c r="B116" s="151">
        <v>0</v>
      </c>
      <c r="C116" s="151">
        <v>0</v>
      </c>
      <c r="D116" s="151">
        <v>0</v>
      </c>
      <c r="E116" s="151">
        <v>0</v>
      </c>
    </row>
    <row r="117" spans="1:6">
      <c r="A117" s="150" t="s">
        <v>1182</v>
      </c>
      <c r="B117" s="151">
        <v>5252</v>
      </c>
      <c r="C117" s="151">
        <v>5252</v>
      </c>
      <c r="D117" s="151">
        <v>5252</v>
      </c>
      <c r="E117" s="151">
        <v>5252</v>
      </c>
    </row>
    <row r="118" spans="1:6">
      <c r="A118" s="150" t="s">
        <v>1224</v>
      </c>
      <c r="B118" s="151">
        <v>320.7</v>
      </c>
      <c r="C118" s="151">
        <v>320.7</v>
      </c>
      <c r="D118" s="151">
        <v>320.7</v>
      </c>
      <c r="E118" s="151">
        <v>320.7</v>
      </c>
    </row>
    <row r="119" spans="1:6">
      <c r="A119" s="150" t="s">
        <v>91</v>
      </c>
      <c r="B119" s="151">
        <v>0</v>
      </c>
      <c r="C119" s="151">
        <v>0</v>
      </c>
      <c r="D119" s="151">
        <v>0</v>
      </c>
      <c r="E119" s="151">
        <v>0</v>
      </c>
    </row>
    <row r="120" spans="1:6">
      <c r="A120" s="142" t="s">
        <v>646</v>
      </c>
      <c r="B120" s="143">
        <f>SUM(B108:B119)</f>
        <v>25021.7</v>
      </c>
      <c r="C120" s="143">
        <f>SUM(C109:C119)</f>
        <v>25958.7</v>
      </c>
      <c r="D120" s="143">
        <f>SUM(D109:D119)</f>
        <v>28643.7</v>
      </c>
      <c r="E120" s="143">
        <f>SUM(E109:E119)</f>
        <v>35821.699999999997</v>
      </c>
    </row>
    <row r="121" spans="1:6" ht="25.5">
      <c r="A121" s="150" t="s">
        <v>52</v>
      </c>
      <c r="B121" s="167">
        <v>25000</v>
      </c>
      <c r="C121" s="151">
        <v>66200</v>
      </c>
      <c r="D121" s="167">
        <v>28600</v>
      </c>
      <c r="E121" s="167">
        <v>35800</v>
      </c>
    </row>
    <row r="122" spans="1:6" ht="29.25" customHeight="1">
      <c r="A122" s="349" t="s">
        <v>820</v>
      </c>
      <c r="B122" s="330"/>
      <c r="C122" s="330"/>
      <c r="D122" s="330"/>
      <c r="E122" s="330"/>
      <c r="F122" s="330"/>
    </row>
    <row r="123" spans="1:6" ht="38.25">
      <c r="A123" s="150" t="s">
        <v>430</v>
      </c>
      <c r="B123" s="168" t="s">
        <v>438</v>
      </c>
      <c r="C123" s="168" t="s">
        <v>439</v>
      </c>
      <c r="D123" s="168" t="s">
        <v>948</v>
      </c>
      <c r="E123" s="168" t="s">
        <v>551</v>
      </c>
    </row>
    <row r="124" spans="1:6">
      <c r="A124" s="150" t="s">
        <v>108</v>
      </c>
      <c r="B124" s="170">
        <v>2.4900000000000002</v>
      </c>
      <c r="C124" s="170">
        <v>2.5099999999999998</v>
      </c>
      <c r="D124" s="170">
        <v>2.57</v>
      </c>
      <c r="E124" s="170">
        <v>2.74</v>
      </c>
    </row>
    <row r="125" spans="1:6" ht="25.5">
      <c r="A125" s="150" t="s">
        <v>109</v>
      </c>
      <c r="B125" s="170">
        <v>2.0299999999999999E-2</v>
      </c>
      <c r="C125" s="170">
        <v>2.23E-2</v>
      </c>
      <c r="D125" s="170">
        <v>2.6200000000000001E-2</v>
      </c>
      <c r="E125" s="170">
        <v>3.7900000000000003E-2</v>
      </c>
    </row>
    <row r="126" spans="1:6" ht="25.5">
      <c r="A126" s="150" t="s">
        <v>1188</v>
      </c>
      <c r="B126" s="170">
        <v>34</v>
      </c>
      <c r="C126" s="170">
        <v>35.200000000000003</v>
      </c>
      <c r="D126" s="170">
        <v>37.4</v>
      </c>
      <c r="E126" s="170">
        <v>44.2</v>
      </c>
    </row>
    <row r="127" spans="1:6" ht="25.5">
      <c r="A127" s="150" t="s">
        <v>1189</v>
      </c>
      <c r="B127" s="170">
        <v>5.75</v>
      </c>
      <c r="C127" s="170">
        <v>6</v>
      </c>
      <c r="D127" s="170">
        <v>6.51</v>
      </c>
      <c r="E127" s="170">
        <v>8.02</v>
      </c>
    </row>
    <row r="128" spans="1:6">
      <c r="A128" s="150" t="s">
        <v>107</v>
      </c>
      <c r="B128" s="170">
        <v>0.29899999999999999</v>
      </c>
      <c r="C128" s="170">
        <v>0.3</v>
      </c>
      <c r="D128" s="170">
        <v>0.30099999999999999</v>
      </c>
      <c r="E128" s="170">
        <v>0.30599999999999999</v>
      </c>
    </row>
    <row r="129" spans="1:6" ht="25.5">
      <c r="A129" s="150" t="s">
        <v>1187</v>
      </c>
      <c r="B129" s="170">
        <v>2.1700000000000001E-3</v>
      </c>
      <c r="C129" s="170">
        <v>2.3800000000000002E-3</v>
      </c>
      <c r="D129" s="170">
        <v>2.7899999999999999E-3</v>
      </c>
      <c r="E129" s="170">
        <v>4.0200000000000001E-3</v>
      </c>
    </row>
    <row r="130" spans="1:6">
      <c r="A130" s="150" t="s">
        <v>1234</v>
      </c>
      <c r="B130" s="170">
        <v>1.95</v>
      </c>
      <c r="C130" s="170">
        <v>1.99</v>
      </c>
      <c r="D130" s="170">
        <v>2.09</v>
      </c>
      <c r="E130" s="170">
        <v>2.37</v>
      </c>
    </row>
    <row r="131" spans="1:6" ht="51">
      <c r="A131" s="150" t="s">
        <v>1124</v>
      </c>
      <c r="B131" s="170">
        <v>1.05</v>
      </c>
      <c r="C131" s="170">
        <v>1.1299999999999999</v>
      </c>
      <c r="D131" s="170">
        <v>1.29</v>
      </c>
      <c r="E131" s="170">
        <v>1.75</v>
      </c>
    </row>
    <row r="132" spans="1:6">
      <c r="A132" s="150" t="s">
        <v>1125</v>
      </c>
      <c r="B132" s="170">
        <v>0.88700000000000001</v>
      </c>
      <c r="C132" s="170">
        <v>0.91400000000000003</v>
      </c>
      <c r="D132" s="170">
        <v>0.96599999999999997</v>
      </c>
      <c r="E132" s="170">
        <v>1.1200000000000001</v>
      </c>
    </row>
    <row r="133" spans="1:6">
      <c r="A133" s="150" t="s">
        <v>1237</v>
      </c>
      <c r="B133" s="170">
        <v>4.26</v>
      </c>
      <c r="C133" s="170">
        <v>4.29</v>
      </c>
      <c r="D133" s="170">
        <v>4.34</v>
      </c>
      <c r="E133" s="170">
        <v>4.4800000000000004</v>
      </c>
    </row>
    <row r="134" spans="1:6" ht="25.5">
      <c r="A134" s="150" t="s">
        <v>1238</v>
      </c>
      <c r="B134" s="170">
        <v>27.7</v>
      </c>
      <c r="C134" s="170">
        <v>30.6</v>
      </c>
      <c r="D134" s="170">
        <v>36.299999999999997</v>
      </c>
      <c r="E134" s="170">
        <v>53.4</v>
      </c>
    </row>
    <row r="135" spans="1:6" ht="27.75" customHeight="1">
      <c r="A135" s="349" t="s">
        <v>596</v>
      </c>
      <c r="B135" s="330"/>
      <c r="C135" s="330"/>
      <c r="D135" s="330"/>
      <c r="E135" s="330"/>
      <c r="F135" s="330"/>
    </row>
    <row r="136" spans="1:6" ht="38.25">
      <c r="A136" s="150" t="s">
        <v>430</v>
      </c>
      <c r="B136" s="168" t="s">
        <v>438</v>
      </c>
      <c r="C136" s="168" t="s">
        <v>439</v>
      </c>
      <c r="D136" s="168" t="s">
        <v>948</v>
      </c>
      <c r="E136" s="168" t="s">
        <v>551</v>
      </c>
    </row>
    <row r="137" spans="1:6">
      <c r="A137" s="150" t="s">
        <v>108</v>
      </c>
      <c r="B137" s="151">
        <v>994</v>
      </c>
      <c r="C137" s="151">
        <v>1010</v>
      </c>
      <c r="D137" s="151">
        <v>1030</v>
      </c>
      <c r="E137" s="151">
        <v>1100</v>
      </c>
    </row>
    <row r="138" spans="1:6" ht="25.5">
      <c r="A138" s="150" t="s">
        <v>109</v>
      </c>
      <c r="B138" s="150">
        <v>8.1300000000000008</v>
      </c>
      <c r="C138" s="150">
        <v>8.91</v>
      </c>
      <c r="D138" s="150">
        <v>10.5</v>
      </c>
      <c r="E138" s="150">
        <v>15.2</v>
      </c>
    </row>
    <row r="139" spans="1:6" ht="25.5">
      <c r="A139" s="150" t="s">
        <v>1188</v>
      </c>
      <c r="B139" s="151">
        <v>13600</v>
      </c>
      <c r="C139" s="151">
        <v>14100</v>
      </c>
      <c r="D139" s="151">
        <v>15000</v>
      </c>
      <c r="E139" s="151">
        <v>17700</v>
      </c>
    </row>
    <row r="140" spans="1:6" ht="25.5">
      <c r="A140" s="150" t="s">
        <v>1189</v>
      </c>
      <c r="B140" s="151">
        <v>2300</v>
      </c>
      <c r="C140" s="151">
        <v>2400</v>
      </c>
      <c r="D140" s="151">
        <v>2600</v>
      </c>
      <c r="E140" s="151">
        <v>3210</v>
      </c>
    </row>
    <row r="141" spans="1:6">
      <c r="A141" s="150" t="s">
        <v>107</v>
      </c>
      <c r="B141" s="151">
        <v>120</v>
      </c>
      <c r="C141" s="151">
        <v>120</v>
      </c>
      <c r="D141" s="151">
        <v>121</v>
      </c>
      <c r="E141" s="151">
        <v>122</v>
      </c>
    </row>
    <row r="142" spans="1:6" ht="25.5">
      <c r="A142" s="150" t="s">
        <v>1187</v>
      </c>
      <c r="B142" s="150">
        <v>0.86799999999999999</v>
      </c>
      <c r="C142" s="150">
        <v>0.95</v>
      </c>
      <c r="D142" s="150">
        <v>1.1100000000000001</v>
      </c>
      <c r="E142" s="150">
        <v>1.61</v>
      </c>
    </row>
    <row r="143" spans="1:6">
      <c r="A143" s="150" t="s">
        <v>1234</v>
      </c>
      <c r="B143" s="151">
        <v>779</v>
      </c>
      <c r="C143" s="151">
        <v>798</v>
      </c>
      <c r="D143" s="151">
        <v>835</v>
      </c>
      <c r="E143" s="151">
        <v>947</v>
      </c>
    </row>
    <row r="144" spans="1:6" ht="51">
      <c r="A144" s="150" t="s">
        <v>1124</v>
      </c>
      <c r="B144" s="151">
        <v>421</v>
      </c>
      <c r="C144" s="151">
        <v>452</v>
      </c>
      <c r="D144" s="151">
        <v>515</v>
      </c>
      <c r="E144" s="151">
        <v>701</v>
      </c>
    </row>
    <row r="145" spans="1:5">
      <c r="A145" s="150" t="s">
        <v>1125</v>
      </c>
      <c r="B145" s="151">
        <v>355</v>
      </c>
      <c r="C145" s="151">
        <v>365</v>
      </c>
      <c r="D145" s="151">
        <v>386</v>
      </c>
      <c r="E145" s="151">
        <v>449</v>
      </c>
    </row>
    <row r="146" spans="1:5">
      <c r="A146" s="150" t="s">
        <v>1237</v>
      </c>
      <c r="B146" s="151">
        <v>853</v>
      </c>
      <c r="C146" s="151">
        <v>857</v>
      </c>
      <c r="D146" s="151">
        <v>867</v>
      </c>
      <c r="E146" s="151">
        <v>896</v>
      </c>
    </row>
    <row r="147" spans="1:5" ht="25.5">
      <c r="A147" s="150" t="s">
        <v>1238</v>
      </c>
      <c r="B147" s="151">
        <v>5540</v>
      </c>
      <c r="C147" s="151">
        <v>6110</v>
      </c>
      <c r="D147" s="151">
        <v>7260</v>
      </c>
      <c r="E147" s="151">
        <v>10700</v>
      </c>
    </row>
    <row r="148" spans="1:5">
      <c r="A148" s="142" t="s">
        <v>646</v>
      </c>
      <c r="B148" s="143">
        <f>SUM(B137:B147)</f>
        <v>24970.997999999996</v>
      </c>
      <c r="C148" s="143">
        <f>SUM(C137:C147)</f>
        <v>26221.86</v>
      </c>
      <c r="D148" s="143">
        <f>SUM(D137:D147)</f>
        <v>28625.61</v>
      </c>
      <c r="E148" s="143">
        <f>SUM(E137:E147)</f>
        <v>35841.81</v>
      </c>
    </row>
    <row r="149" spans="1:5" ht="25.5">
      <c r="A149" s="150" t="s">
        <v>52</v>
      </c>
      <c r="B149" s="167">
        <v>25000</v>
      </c>
      <c r="C149" s="151">
        <v>26200</v>
      </c>
      <c r="D149" s="167">
        <v>28600</v>
      </c>
      <c r="E149" s="167">
        <v>35800</v>
      </c>
    </row>
  </sheetData>
  <mergeCells count="10">
    <mergeCell ref="A1:F1"/>
    <mergeCell ref="A17:F17"/>
    <mergeCell ref="A30:F30"/>
    <mergeCell ref="A45:F45"/>
    <mergeCell ref="A122:F122"/>
    <mergeCell ref="A135:F135"/>
    <mergeCell ref="A61:F61"/>
    <mergeCell ref="A74:F74"/>
    <mergeCell ref="A89:C89"/>
    <mergeCell ref="A106:F106"/>
  </mergeCells>
  <phoneticPr fontId="5" type="noConversion"/>
  <pageMargins left="0.75" right="0.75" top="1" bottom="1" header="0.5" footer="0.5"/>
  <rowBreaks count="1" manualBreakCount="1">
    <brk id="111" max="17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L157"/>
  <sheetViews>
    <sheetView tabSelected="1" topLeftCell="AW94" workbookViewId="0">
      <selection activeCell="AX102" sqref="AX102"/>
    </sheetView>
  </sheetViews>
  <sheetFormatPr defaultColWidth="8.75" defaultRowHeight="14.25"/>
  <cols>
    <col min="1" max="1" width="10.375" customWidth="1"/>
    <col min="2" max="2" width="11" bestFit="1" customWidth="1"/>
    <col min="3" max="4" width="11.125" bestFit="1" customWidth="1"/>
    <col min="5" max="5" width="11.625" bestFit="1" customWidth="1"/>
    <col min="6" max="6" width="8.875" bestFit="1" customWidth="1"/>
    <col min="7" max="7" width="9.75" customWidth="1"/>
    <col min="10" max="10" width="8.75" customWidth="1"/>
    <col min="16" max="16" width="11.625" customWidth="1"/>
    <col min="17" max="17" width="12.75" customWidth="1"/>
    <col min="18" max="18" width="13.125" customWidth="1"/>
    <col min="19" max="19" width="11" bestFit="1" customWidth="1"/>
    <col min="20" max="20" width="12.25" customWidth="1"/>
    <col min="21" max="21" width="9.25" customWidth="1"/>
    <col min="23" max="23" width="10.625" customWidth="1"/>
    <col min="43" max="43" width="13.375" customWidth="1"/>
    <col min="44" max="44" width="10.75" bestFit="1" customWidth="1"/>
    <col min="45" max="45" width="10.375" bestFit="1" customWidth="1"/>
    <col min="46" max="46" width="10.875" bestFit="1" customWidth="1"/>
    <col min="48" max="50" width="11.25" bestFit="1" customWidth="1"/>
    <col min="54" max="54" width="9.75" customWidth="1"/>
    <col min="55" max="55" width="10" customWidth="1"/>
    <col min="58" max="58" width="10" customWidth="1"/>
    <col min="59" max="59" width="9.75" customWidth="1"/>
    <col min="60" max="60" width="10.625" customWidth="1"/>
  </cols>
  <sheetData>
    <row r="1" spans="1:23" ht="15">
      <c r="A1" s="55" t="s">
        <v>315</v>
      </c>
    </row>
    <row r="2" spans="1:23" ht="54" customHeight="1">
      <c r="A2" s="150" t="s">
        <v>430</v>
      </c>
      <c r="B2" s="168" t="s">
        <v>615</v>
      </c>
      <c r="C2" s="168" t="s">
        <v>614</v>
      </c>
      <c r="D2" s="168" t="s">
        <v>616</v>
      </c>
      <c r="E2" s="168" t="s">
        <v>617</v>
      </c>
      <c r="P2" s="150" t="s">
        <v>430</v>
      </c>
      <c r="Q2" s="168" t="s">
        <v>1135</v>
      </c>
      <c r="R2" s="168" t="s">
        <v>1136</v>
      </c>
      <c r="S2" s="168" t="s">
        <v>1137</v>
      </c>
      <c r="T2" s="168" t="s">
        <v>1249</v>
      </c>
      <c r="V2" s="261" t="s">
        <v>978</v>
      </c>
      <c r="W2" s="261" t="s">
        <v>979</v>
      </c>
    </row>
    <row r="3" spans="1:23">
      <c r="A3" s="150" t="s">
        <v>108</v>
      </c>
      <c r="B3" s="151">
        <v>2470000</v>
      </c>
      <c r="C3" s="151">
        <v>25200000</v>
      </c>
      <c r="D3" s="151">
        <v>2500000</v>
      </c>
      <c r="E3" s="151">
        <v>22300000</v>
      </c>
      <c r="P3" s="150" t="s">
        <v>108</v>
      </c>
      <c r="Q3" s="170">
        <f>(B3/($B$14+$C$14))*100</f>
        <v>0.490233924941812</v>
      </c>
      <c r="R3" s="170">
        <f>(C3/($B$14+$C$14))*100</f>
        <v>5.001576886046017</v>
      </c>
      <c r="S3" s="170">
        <f>(D3/($B$14+$C$14))*100</f>
        <v>0.49618818313948587</v>
      </c>
      <c r="T3" s="170">
        <f>(E3/($B$14+$C$14))*100</f>
        <v>4.4259985936042137</v>
      </c>
      <c r="U3" s="260" t="s">
        <v>108</v>
      </c>
      <c r="V3" s="262">
        <f>(Q3+R3)</f>
        <v>5.491810810987829</v>
      </c>
      <c r="W3" s="262">
        <f>(S3+T3)</f>
        <v>4.9221867767436995</v>
      </c>
    </row>
    <row r="4" spans="1:23" ht="25.5">
      <c r="A4" s="150" t="s">
        <v>109</v>
      </c>
      <c r="B4" s="151">
        <v>17700</v>
      </c>
      <c r="C4" s="151">
        <v>157000</v>
      </c>
      <c r="D4" s="151">
        <v>16100</v>
      </c>
      <c r="E4" s="151">
        <v>139000</v>
      </c>
      <c r="P4" s="150" t="s">
        <v>109</v>
      </c>
      <c r="Q4" s="170">
        <f t="shared" ref="Q4:Q13" si="0">(B4/($B$14+$C$14))*100</f>
        <v>3.5130123366275598E-3</v>
      </c>
      <c r="R4" s="170">
        <f t="shared" ref="R4:R13" si="1">(C4/($B$14+$C$14))*100</f>
        <v>3.1160617901159714E-2</v>
      </c>
      <c r="S4" s="170">
        <f t="shared" ref="S4:S13" si="2">(D4/($B$14+$C$14))*100</f>
        <v>3.1954518994182887E-3</v>
      </c>
      <c r="T4" s="170">
        <f t="shared" ref="T4:T14" si="3">(E4/($B$14+$C$14))*100</f>
        <v>2.7588062982555412E-2</v>
      </c>
      <c r="U4" s="260" t="s">
        <v>109</v>
      </c>
      <c r="V4" s="262">
        <f t="shared" ref="V4:V13" si="4">(Q4+R4)</f>
        <v>3.4673630237787273E-2</v>
      </c>
      <c r="W4" s="262">
        <f t="shared" ref="W4:W13" si="5">(S4+T4)</f>
        <v>3.07835148819737E-2</v>
      </c>
    </row>
    <row r="5" spans="1:23" ht="25.5">
      <c r="A5" s="150" t="s">
        <v>658</v>
      </c>
      <c r="B5" s="151">
        <v>42200000</v>
      </c>
      <c r="C5" s="151">
        <v>166000000</v>
      </c>
      <c r="D5" s="151">
        <v>38500000</v>
      </c>
      <c r="E5" s="151">
        <v>148000000</v>
      </c>
      <c r="P5" s="150" t="s">
        <v>658</v>
      </c>
      <c r="Q5" s="170">
        <f t="shared" si="0"/>
        <v>8.3756565313945206</v>
      </c>
      <c r="R5" s="170">
        <f t="shared" si="1"/>
        <v>32.946895360461859</v>
      </c>
      <c r="S5" s="170">
        <f t="shared" si="2"/>
        <v>7.6412980203480823</v>
      </c>
      <c r="T5" s="170">
        <f t="shared" si="3"/>
        <v>29.374340441857562</v>
      </c>
      <c r="U5" s="260" t="s">
        <v>658</v>
      </c>
      <c r="V5" s="262">
        <f t="shared" si="4"/>
        <v>41.322551891856378</v>
      </c>
      <c r="W5" s="262">
        <f t="shared" si="5"/>
        <v>37.015638462205644</v>
      </c>
    </row>
    <row r="6" spans="1:23" ht="25.5">
      <c r="A6" s="150" t="s">
        <v>1189</v>
      </c>
      <c r="B6" s="151">
        <v>6160000</v>
      </c>
      <c r="C6" s="151">
        <v>42800000</v>
      </c>
      <c r="D6" s="151">
        <v>5620000</v>
      </c>
      <c r="E6" s="151">
        <v>37900000</v>
      </c>
      <c r="P6" s="150" t="s">
        <v>1189</v>
      </c>
      <c r="Q6" s="170">
        <f t="shared" si="0"/>
        <v>1.2226076832556931</v>
      </c>
      <c r="R6" s="170">
        <f t="shared" si="1"/>
        <v>8.4947416953479973</v>
      </c>
      <c r="S6" s="170">
        <f t="shared" si="2"/>
        <v>1.1154310356975643</v>
      </c>
      <c r="T6" s="170">
        <f t="shared" si="3"/>
        <v>7.5222128563946056</v>
      </c>
      <c r="U6" s="260" t="s">
        <v>1189</v>
      </c>
      <c r="V6" s="262">
        <f t="shared" si="4"/>
        <v>9.7173493786036911</v>
      </c>
      <c r="W6" s="262">
        <f t="shared" si="5"/>
        <v>8.6376438920921697</v>
      </c>
    </row>
    <row r="7" spans="1:23">
      <c r="A7" s="150" t="s">
        <v>107</v>
      </c>
      <c r="B7" s="151">
        <v>51100</v>
      </c>
      <c r="C7" s="151">
        <v>888000</v>
      </c>
      <c r="D7" s="151">
        <v>46600</v>
      </c>
      <c r="E7" s="151">
        <v>790000</v>
      </c>
      <c r="P7" s="150" t="s">
        <v>107</v>
      </c>
      <c r="Q7" s="170">
        <f t="shared" si="0"/>
        <v>1.014208646337109E-2</v>
      </c>
      <c r="R7" s="170">
        <f t="shared" si="1"/>
        <v>0.17624604265114538</v>
      </c>
      <c r="S7" s="170">
        <f t="shared" si="2"/>
        <v>9.2489477337200157E-3</v>
      </c>
      <c r="T7" s="170">
        <f t="shared" si="3"/>
        <v>0.15679546587207752</v>
      </c>
      <c r="U7" s="260" t="s">
        <v>107</v>
      </c>
      <c r="V7" s="262">
        <f t="shared" si="4"/>
        <v>0.18638812911451647</v>
      </c>
      <c r="W7" s="262">
        <f t="shared" si="5"/>
        <v>0.16604441360579753</v>
      </c>
    </row>
    <row r="8" spans="1:23" ht="18" customHeight="1">
      <c r="A8" s="150" t="s">
        <v>1187</v>
      </c>
      <c r="B8" s="151">
        <v>1600</v>
      </c>
      <c r="C8" s="151">
        <v>29700</v>
      </c>
      <c r="D8" s="151">
        <v>1460</v>
      </c>
      <c r="E8" s="151">
        <v>26800</v>
      </c>
      <c r="P8" s="150" t="s">
        <v>1187</v>
      </c>
      <c r="Q8" s="170">
        <f t="shared" si="0"/>
        <v>3.1756043720927095E-4</v>
      </c>
      <c r="R8" s="170">
        <f t="shared" si="1"/>
        <v>5.8947156156970914E-3</v>
      </c>
      <c r="S8" s="170">
        <f t="shared" si="2"/>
        <v>2.8977389895345975E-4</v>
      </c>
      <c r="T8" s="170">
        <f t="shared" si="3"/>
        <v>5.3191373232552878E-3</v>
      </c>
      <c r="U8" s="260" t="s">
        <v>1187</v>
      </c>
      <c r="V8" s="262">
        <f t="shared" si="4"/>
        <v>6.2122760529063625E-3</v>
      </c>
      <c r="W8" s="262">
        <f t="shared" si="5"/>
        <v>5.6089112222087473E-3</v>
      </c>
    </row>
    <row r="9" spans="1:23">
      <c r="A9" s="150" t="s">
        <v>1234</v>
      </c>
      <c r="B9" s="151">
        <v>13600000</v>
      </c>
      <c r="C9" s="151">
        <v>16200000</v>
      </c>
      <c r="D9" s="151">
        <v>12300000</v>
      </c>
      <c r="E9" s="151">
        <v>14300000</v>
      </c>
      <c r="P9" s="150" t="s">
        <v>1234</v>
      </c>
      <c r="Q9" s="170">
        <f t="shared" si="0"/>
        <v>2.6992637162788031</v>
      </c>
      <c r="R9" s="170">
        <f t="shared" si="1"/>
        <v>3.2152994267438681</v>
      </c>
      <c r="S9" s="170">
        <f t="shared" si="2"/>
        <v>2.4412458610462702</v>
      </c>
      <c r="T9" s="170">
        <f t="shared" si="3"/>
        <v>2.838196407557859</v>
      </c>
      <c r="U9" s="260" t="s">
        <v>1234</v>
      </c>
      <c r="V9" s="262">
        <f t="shared" si="4"/>
        <v>5.9145631430226713</v>
      </c>
      <c r="W9" s="262">
        <f t="shared" si="5"/>
        <v>5.2794422686041287</v>
      </c>
    </row>
    <row r="10" spans="1:23" ht="37.5" customHeight="1">
      <c r="A10" s="150" t="s">
        <v>1124</v>
      </c>
      <c r="B10" s="151">
        <v>666000</v>
      </c>
      <c r="C10" s="151">
        <v>5820000</v>
      </c>
      <c r="D10" s="151">
        <v>607000</v>
      </c>
      <c r="E10" s="151">
        <v>5180000</v>
      </c>
      <c r="P10" s="150" t="s">
        <v>1124</v>
      </c>
      <c r="Q10" s="170">
        <f t="shared" si="0"/>
        <v>0.13218453198835903</v>
      </c>
      <c r="R10" s="170">
        <f t="shared" si="1"/>
        <v>1.155126090348723</v>
      </c>
      <c r="S10" s="170">
        <f t="shared" si="2"/>
        <v>0.12047449086626716</v>
      </c>
      <c r="T10" s="170">
        <f t="shared" si="3"/>
        <v>1.0281019154650148</v>
      </c>
      <c r="U10" s="260" t="s">
        <v>1124</v>
      </c>
      <c r="V10" s="262">
        <f t="shared" si="4"/>
        <v>1.287310622337082</v>
      </c>
      <c r="W10" s="262">
        <f t="shared" si="5"/>
        <v>1.148576406331282</v>
      </c>
    </row>
    <row r="11" spans="1:23">
      <c r="A11" s="150" t="s">
        <v>1125</v>
      </c>
      <c r="B11" s="151">
        <v>740000</v>
      </c>
      <c r="C11" s="151">
        <v>5340000</v>
      </c>
      <c r="D11" s="151">
        <v>674000</v>
      </c>
      <c r="E11" s="151">
        <v>5570000</v>
      </c>
      <c r="P11" s="150" t="s">
        <v>1125</v>
      </c>
      <c r="Q11" s="170">
        <f t="shared" si="0"/>
        <v>0.1468717022092878</v>
      </c>
      <c r="R11" s="170">
        <f t="shared" si="1"/>
        <v>1.0598579591859418</v>
      </c>
      <c r="S11" s="170">
        <f t="shared" si="2"/>
        <v>0.1337723341744054</v>
      </c>
      <c r="T11" s="170">
        <f t="shared" si="3"/>
        <v>1.1055072720347745</v>
      </c>
      <c r="U11" s="260" t="s">
        <v>1125</v>
      </c>
      <c r="V11" s="262">
        <f t="shared" si="4"/>
        <v>1.2067296613952296</v>
      </c>
      <c r="W11" s="262">
        <f t="shared" si="5"/>
        <v>1.23927960620918</v>
      </c>
    </row>
    <row r="12" spans="1:23">
      <c r="A12" s="150" t="s">
        <v>1237</v>
      </c>
      <c r="B12" s="151">
        <v>17600000</v>
      </c>
      <c r="C12" s="151">
        <v>24000000</v>
      </c>
      <c r="D12" s="151">
        <v>16000000</v>
      </c>
      <c r="E12" s="151">
        <v>21300000</v>
      </c>
      <c r="P12" s="150" t="s">
        <v>1237</v>
      </c>
      <c r="Q12" s="170">
        <f t="shared" si="0"/>
        <v>3.4931648093019803</v>
      </c>
      <c r="R12" s="170">
        <f t="shared" si="1"/>
        <v>4.7634065581390637</v>
      </c>
      <c r="S12" s="170">
        <f t="shared" si="2"/>
        <v>3.1756043720927094</v>
      </c>
      <c r="T12" s="170">
        <f t="shared" si="3"/>
        <v>4.2275233203484195</v>
      </c>
      <c r="U12" s="260" t="s">
        <v>1237</v>
      </c>
      <c r="V12" s="262">
        <f t="shared" si="4"/>
        <v>8.2565713674410439</v>
      </c>
      <c r="W12" s="262">
        <f t="shared" si="5"/>
        <v>7.4031276924411289</v>
      </c>
    </row>
    <row r="13" spans="1:23">
      <c r="A13" s="150" t="s">
        <v>1238</v>
      </c>
      <c r="B13" s="151">
        <v>13900000</v>
      </c>
      <c r="C13" s="151">
        <v>120000000</v>
      </c>
      <c r="D13" s="151">
        <v>12700000</v>
      </c>
      <c r="E13" s="151">
        <v>108000000</v>
      </c>
      <c r="P13" s="150" t="s">
        <v>1238</v>
      </c>
      <c r="Q13" s="170">
        <f t="shared" si="0"/>
        <v>2.758806298255541</v>
      </c>
      <c r="R13" s="170">
        <f t="shared" si="1"/>
        <v>23.817032790695318</v>
      </c>
      <c r="S13" s="170">
        <f t="shared" si="2"/>
        <v>2.5206359703485881</v>
      </c>
      <c r="T13" s="170">
        <f t="shared" si="3"/>
        <v>21.435329511625788</v>
      </c>
      <c r="U13" s="260" t="s">
        <v>1238</v>
      </c>
      <c r="V13" s="262">
        <f t="shared" si="4"/>
        <v>26.575839088950858</v>
      </c>
      <c r="W13" s="262">
        <f t="shared" si="5"/>
        <v>23.955965481974378</v>
      </c>
    </row>
    <row r="14" spans="1:23">
      <c r="A14" s="142" t="s">
        <v>646</v>
      </c>
      <c r="B14" s="143">
        <f>SUM(B3:B13)</f>
        <v>97406400</v>
      </c>
      <c r="C14" s="143">
        <f>SUM(C3:C13)</f>
        <v>406434700</v>
      </c>
      <c r="D14" s="143">
        <f>SUM(D3:D13)</f>
        <v>88965160</v>
      </c>
      <c r="E14" s="143">
        <f>SUM(E3:E13)</f>
        <v>363505800</v>
      </c>
      <c r="P14" s="142" t="s">
        <v>1250</v>
      </c>
      <c r="Q14" s="214">
        <f>SUM(Q3:Q13)</f>
        <v>19.332761856863208</v>
      </c>
      <c r="R14" s="214">
        <f>SUM(R3:R13)</f>
        <v>80.667238143136785</v>
      </c>
      <c r="S14" s="214">
        <f>SUM(S3:S13)</f>
        <v>17.657384441245465</v>
      </c>
      <c r="T14" s="214">
        <f t="shared" si="3"/>
        <v>72.146912985066123</v>
      </c>
      <c r="V14" s="263">
        <f>(SUM(V3:V13))</f>
        <v>100</v>
      </c>
      <c r="W14" s="263">
        <f>SUM(W3:W13)</f>
        <v>89.804297426311592</v>
      </c>
    </row>
    <row r="15" spans="1:23" ht="25.5">
      <c r="A15" s="150" t="s">
        <v>52</v>
      </c>
      <c r="B15" s="151">
        <v>97700000</v>
      </c>
      <c r="C15" s="151">
        <v>407000000</v>
      </c>
      <c r="D15" s="167">
        <v>89000000</v>
      </c>
      <c r="E15" s="167">
        <v>364000000</v>
      </c>
      <c r="P15" s="150" t="s">
        <v>1251</v>
      </c>
      <c r="Q15" s="151">
        <v>97700000</v>
      </c>
      <c r="R15" s="151">
        <v>407000000</v>
      </c>
      <c r="S15" s="167">
        <v>89000000</v>
      </c>
      <c r="T15" s="167">
        <v>364000000</v>
      </c>
      <c r="V15" s="159">
        <f>(Q15+R15)</f>
        <v>504700000</v>
      </c>
      <c r="W15" s="159">
        <f>(S15+T15)</f>
        <v>453000000</v>
      </c>
    </row>
    <row r="16" spans="1:23" ht="15">
      <c r="A16" s="55" t="s">
        <v>314</v>
      </c>
    </row>
    <row r="17" spans="1:20" ht="38.25">
      <c r="A17" s="200" t="s">
        <v>633</v>
      </c>
      <c r="B17" s="169" t="s">
        <v>634</v>
      </c>
      <c r="C17" s="169" t="s">
        <v>635</v>
      </c>
      <c r="D17" s="169" t="s">
        <v>850</v>
      </c>
      <c r="E17" s="169" t="s">
        <v>867</v>
      </c>
      <c r="P17" s="200" t="s">
        <v>1218</v>
      </c>
      <c r="Q17" s="169" t="s">
        <v>1151</v>
      </c>
      <c r="R17" s="169" t="s">
        <v>1120</v>
      </c>
      <c r="S17" s="169" t="s">
        <v>1121</v>
      </c>
      <c r="T17" s="217"/>
    </row>
    <row r="18" spans="1:20">
      <c r="A18" s="169" t="s">
        <v>868</v>
      </c>
      <c r="B18" s="167">
        <v>61300000</v>
      </c>
      <c r="C18" s="167">
        <v>55700000</v>
      </c>
      <c r="D18" s="167">
        <f>(B18-C18)*-1</f>
        <v>-5600000</v>
      </c>
      <c r="E18" s="202">
        <f>(D18/B18)*100</f>
        <v>-9.1353996737357264</v>
      </c>
      <c r="P18" s="169" t="s">
        <v>868</v>
      </c>
      <c r="Q18" s="215">
        <f>(B18/$B$26)*100</f>
        <v>12.148236226714229</v>
      </c>
      <c r="R18" s="215">
        <f>(C18/$B$26)*100</f>
        <v>11.038446294094333</v>
      </c>
      <c r="S18" s="215">
        <f>(Q18-R18)</f>
        <v>1.1097899326198952</v>
      </c>
      <c r="T18" s="218"/>
    </row>
    <row r="19" spans="1:20">
      <c r="A19" s="169" t="s">
        <v>869</v>
      </c>
      <c r="B19" s="201">
        <v>0</v>
      </c>
      <c r="C19" s="167">
        <v>1000000</v>
      </c>
      <c r="D19" s="167">
        <f t="shared" ref="D19:D25" si="6">(B19-C19)*-1</f>
        <v>1000000</v>
      </c>
      <c r="E19" s="202">
        <f>(D19/B18)*100</f>
        <v>1.6313213703099509</v>
      </c>
      <c r="P19" s="169" t="s">
        <v>869</v>
      </c>
      <c r="Q19" s="215">
        <f t="shared" ref="Q19:Q25" si="7">(B19/$B$26)*100</f>
        <v>0</v>
      </c>
      <c r="R19" s="215">
        <f t="shared" ref="R19:R26" si="8">(C19/$B$26)*100</f>
        <v>0.19817677368212444</v>
      </c>
      <c r="S19" s="215">
        <f t="shared" ref="S19:S25" si="9">(Q19-R19)</f>
        <v>-0.19817677368212444</v>
      </c>
      <c r="T19" s="218"/>
    </row>
    <row r="20" spans="1:20">
      <c r="A20" s="169" t="s">
        <v>870</v>
      </c>
      <c r="B20" s="167">
        <v>36400000</v>
      </c>
      <c r="C20" s="167">
        <v>29600000</v>
      </c>
      <c r="D20" s="167">
        <f t="shared" si="6"/>
        <v>-6800000</v>
      </c>
      <c r="E20" s="202">
        <f>(D20/B20)*100</f>
        <v>-18.681318681318682</v>
      </c>
      <c r="P20" s="169" t="s">
        <v>870</v>
      </c>
      <c r="Q20" s="215">
        <f t="shared" si="7"/>
        <v>7.2136345620293305</v>
      </c>
      <c r="R20" s="215">
        <f t="shared" si="8"/>
        <v>5.866032500990884</v>
      </c>
      <c r="S20" s="215">
        <f t="shared" si="9"/>
        <v>1.3476020610384465</v>
      </c>
      <c r="T20" s="218"/>
    </row>
    <row r="21" spans="1:20">
      <c r="A21" s="169" t="s">
        <v>1043</v>
      </c>
      <c r="B21" s="201">
        <v>0</v>
      </c>
      <c r="C21" s="167">
        <v>2640000</v>
      </c>
      <c r="D21" s="167">
        <f t="shared" si="6"/>
        <v>2640000</v>
      </c>
      <c r="E21" s="202">
        <f>(D21/B20)*100</f>
        <v>7.2527472527472536</v>
      </c>
      <c r="P21" s="169" t="s">
        <v>1043</v>
      </c>
      <c r="Q21" s="215">
        <f t="shared" si="7"/>
        <v>0</v>
      </c>
      <c r="R21" s="215">
        <f t="shared" si="8"/>
        <v>0.52318668252080858</v>
      </c>
      <c r="S21" s="215">
        <f t="shared" si="9"/>
        <v>-0.52318668252080858</v>
      </c>
      <c r="T21" s="218"/>
    </row>
    <row r="22" spans="1:20" ht="25.5">
      <c r="A22" s="169" t="s">
        <v>770</v>
      </c>
      <c r="B22" s="167">
        <v>20600000</v>
      </c>
      <c r="C22" s="167">
        <v>1380000</v>
      </c>
      <c r="D22" s="167">
        <f t="shared" si="6"/>
        <v>-19220000</v>
      </c>
      <c r="E22" s="202">
        <f>(D22/B22)*100</f>
        <v>-93.300970873786397</v>
      </c>
      <c r="P22" s="169" t="s">
        <v>770</v>
      </c>
      <c r="Q22" s="215">
        <f t="shared" si="7"/>
        <v>4.0824415378517633</v>
      </c>
      <c r="R22" s="215">
        <f t="shared" si="8"/>
        <v>0.27348394768133172</v>
      </c>
      <c r="S22" s="215">
        <f t="shared" si="9"/>
        <v>3.8089575901704316</v>
      </c>
      <c r="T22" s="218"/>
    </row>
    <row r="23" spans="1:20" ht="25.5">
      <c r="A23" s="169" t="s">
        <v>1158</v>
      </c>
      <c r="B23" s="167">
        <v>93300000</v>
      </c>
      <c r="C23" s="167">
        <v>93300000</v>
      </c>
      <c r="D23" s="167">
        <f t="shared" si="6"/>
        <v>0</v>
      </c>
      <c r="E23" s="202">
        <f>(D23/B23)*100</f>
        <v>0</v>
      </c>
      <c r="P23" s="169" t="s">
        <v>1158</v>
      </c>
      <c r="Q23" s="215">
        <f t="shared" si="7"/>
        <v>18.489892984542212</v>
      </c>
      <c r="R23" s="215">
        <f t="shared" si="8"/>
        <v>18.489892984542212</v>
      </c>
      <c r="S23" s="215">
        <f t="shared" si="9"/>
        <v>0</v>
      </c>
      <c r="T23" s="218"/>
    </row>
    <row r="24" spans="1:20">
      <c r="A24" s="169" t="s">
        <v>891</v>
      </c>
      <c r="B24" s="167">
        <v>293000000</v>
      </c>
      <c r="C24" s="167">
        <v>267000000</v>
      </c>
      <c r="D24" s="167">
        <f t="shared" si="6"/>
        <v>-26000000</v>
      </c>
      <c r="E24" s="202">
        <f>(D24/B24)*100</f>
        <v>-8.8737201365187719</v>
      </c>
      <c r="P24" s="169" t="s">
        <v>891</v>
      </c>
      <c r="Q24" s="215">
        <f t="shared" si="7"/>
        <v>58.065794688862461</v>
      </c>
      <c r="R24" s="215">
        <f t="shared" si="8"/>
        <v>52.913198573127232</v>
      </c>
      <c r="S24" s="215">
        <f t="shared" si="9"/>
        <v>5.1525961157352285</v>
      </c>
      <c r="T24" s="218"/>
    </row>
    <row r="25" spans="1:20">
      <c r="A25" s="169" t="s">
        <v>892</v>
      </c>
      <c r="B25" s="201">
        <v>0</v>
      </c>
      <c r="C25" s="167">
        <v>2400000</v>
      </c>
      <c r="D25" s="167">
        <f t="shared" si="6"/>
        <v>2400000</v>
      </c>
      <c r="E25" s="202">
        <f>(D25/B24)*100</f>
        <v>0.8191126279863481</v>
      </c>
      <c r="P25" s="169" t="s">
        <v>892</v>
      </c>
      <c r="Q25" s="215">
        <f t="shared" si="7"/>
        <v>0</v>
      </c>
      <c r="R25" s="215">
        <f>(C25/$B$26)*100</f>
        <v>0.47562425683709864</v>
      </c>
      <c r="S25" s="215">
        <f t="shared" si="9"/>
        <v>-0.47562425683709864</v>
      </c>
      <c r="T25" s="218"/>
    </row>
    <row r="26" spans="1:20">
      <c r="A26" s="203" t="s">
        <v>646</v>
      </c>
      <c r="B26" s="204">
        <f>SUM(B18:B25)</f>
        <v>504600000</v>
      </c>
      <c r="C26" s="204">
        <f>SUM(C18:C25)</f>
        <v>453020000</v>
      </c>
      <c r="D26" s="204">
        <f>SUM(D18:D25)</f>
        <v>-51580000</v>
      </c>
      <c r="E26" s="199">
        <f>(D26/B26)*100</f>
        <v>-10.221957986523979</v>
      </c>
      <c r="P26" s="203" t="s">
        <v>646</v>
      </c>
      <c r="Q26" s="216">
        <f>SUM(Q18:Q25)</f>
        <v>100</v>
      </c>
      <c r="R26" s="216">
        <f t="shared" si="8"/>
        <v>89.778042013476025</v>
      </c>
      <c r="S26" s="216">
        <f>SUM(S18:S25)</f>
        <v>10.22195798652397</v>
      </c>
      <c r="T26" s="219"/>
    </row>
    <row r="27" spans="1:20" ht="25.5">
      <c r="A27" s="169" t="s">
        <v>52</v>
      </c>
      <c r="B27" s="167">
        <v>505000000</v>
      </c>
      <c r="C27" s="167">
        <v>453000000</v>
      </c>
      <c r="D27" s="167"/>
      <c r="E27" s="202"/>
      <c r="P27" s="169" t="s">
        <v>52</v>
      </c>
      <c r="Q27" s="167">
        <v>505000000</v>
      </c>
      <c r="R27" s="167">
        <v>453000000</v>
      </c>
      <c r="S27" s="151" t="s">
        <v>1029</v>
      </c>
      <c r="T27" s="218"/>
    </row>
    <row r="28" spans="1:20" ht="15">
      <c r="A28" s="55" t="s">
        <v>313</v>
      </c>
      <c r="B28" s="198"/>
      <c r="C28" s="198"/>
      <c r="D28" s="198"/>
      <c r="E28" s="198"/>
    </row>
    <row r="29" spans="1:20" ht="38.25">
      <c r="A29" s="200" t="s">
        <v>893</v>
      </c>
      <c r="B29" s="148" t="s">
        <v>955</v>
      </c>
      <c r="C29" s="169" t="s">
        <v>834</v>
      </c>
      <c r="D29" s="169" t="s">
        <v>635</v>
      </c>
      <c r="E29" s="169" t="s">
        <v>850</v>
      </c>
      <c r="F29" s="169" t="s">
        <v>867</v>
      </c>
      <c r="P29" s="200" t="s">
        <v>893</v>
      </c>
      <c r="Q29" s="169" t="s">
        <v>1119</v>
      </c>
      <c r="R29" s="169" t="s">
        <v>1120</v>
      </c>
      <c r="S29" s="169" t="s">
        <v>1121</v>
      </c>
      <c r="T29" s="217"/>
    </row>
    <row r="30" spans="1:20">
      <c r="A30" s="169" t="s">
        <v>1191</v>
      </c>
      <c r="B30" s="275">
        <v>21500000</v>
      </c>
      <c r="C30" s="167">
        <v>10500000</v>
      </c>
      <c r="D30" s="167">
        <v>702000</v>
      </c>
      <c r="E30" s="167">
        <f>(C30-D30)*-1</f>
        <v>-9798000</v>
      </c>
      <c r="F30" s="202">
        <f>(E30/C30)*100</f>
        <v>-93.314285714285717</v>
      </c>
      <c r="P30" s="169" t="s">
        <v>1191</v>
      </c>
      <c r="Q30" s="215">
        <f t="shared" ref="Q30:R36" si="10">(C30/$C$36)*100</f>
        <v>50.926375012125327</v>
      </c>
      <c r="R30" s="215">
        <f t="shared" si="10"/>
        <v>3.4047919293820934</v>
      </c>
      <c r="S30" s="215">
        <f>(Q30-R30)</f>
        <v>47.521583082743234</v>
      </c>
      <c r="T30" s="218"/>
    </row>
    <row r="31" spans="1:20" ht="25.5">
      <c r="A31" s="169" t="s">
        <v>564</v>
      </c>
      <c r="B31" s="275">
        <v>10600000</v>
      </c>
      <c r="C31" s="167">
        <v>5190000</v>
      </c>
      <c r="D31" s="167">
        <v>348000</v>
      </c>
      <c r="E31" s="167">
        <f t="shared" ref="E31:E36" si="11">(C31-D31)*-1</f>
        <v>-4842000</v>
      </c>
      <c r="F31" s="202">
        <f t="shared" ref="F31:F36" si="12">(E31/C31)*100</f>
        <v>-93.294797687861276</v>
      </c>
      <c r="P31" s="169" t="s">
        <v>564</v>
      </c>
      <c r="Q31" s="215">
        <f t="shared" si="10"/>
        <v>25.172179648850516</v>
      </c>
      <c r="R31" s="215">
        <f t="shared" si="10"/>
        <v>1.6878455718304395</v>
      </c>
      <c r="S31" s="215">
        <f t="shared" ref="S31:S36" si="13">(Q31-R31)</f>
        <v>23.484334077020076</v>
      </c>
      <c r="T31" s="218"/>
    </row>
    <row r="32" spans="1:20">
      <c r="A32" s="169" t="s">
        <v>123</v>
      </c>
      <c r="B32" s="275">
        <v>4250000</v>
      </c>
      <c r="C32" s="167">
        <v>2070000</v>
      </c>
      <c r="D32" s="167">
        <v>139000</v>
      </c>
      <c r="E32" s="167">
        <f t="shared" si="11"/>
        <v>-1931000</v>
      </c>
      <c r="F32" s="202">
        <f t="shared" si="12"/>
        <v>-93.285024154589365</v>
      </c>
      <c r="P32" s="169" t="s">
        <v>123</v>
      </c>
      <c r="Q32" s="215">
        <f t="shared" si="10"/>
        <v>10.039771073818994</v>
      </c>
      <c r="R32" s="215">
        <f t="shared" si="10"/>
        <v>0.6741682025414687</v>
      </c>
      <c r="S32" s="215">
        <f t="shared" si="13"/>
        <v>9.3656028712775257</v>
      </c>
      <c r="T32" s="218"/>
    </row>
    <row r="33" spans="1:59">
      <c r="A33" s="169" t="s">
        <v>558</v>
      </c>
      <c r="B33" s="275">
        <v>543000</v>
      </c>
      <c r="C33" s="167">
        <v>265000</v>
      </c>
      <c r="D33" s="167">
        <v>17800</v>
      </c>
      <c r="E33" s="167">
        <f t="shared" si="11"/>
        <v>-247200</v>
      </c>
      <c r="F33" s="202">
        <f t="shared" si="12"/>
        <v>-93.283018867924525</v>
      </c>
      <c r="P33" s="169" t="s">
        <v>558</v>
      </c>
      <c r="Q33" s="215">
        <f t="shared" si="10"/>
        <v>1.2852847026869725</v>
      </c>
      <c r="R33" s="215">
        <f t="shared" si="10"/>
        <v>8.6332330972936258E-2</v>
      </c>
      <c r="S33" s="215">
        <f t="shared" si="13"/>
        <v>1.1989523717140362</v>
      </c>
      <c r="T33" s="218"/>
    </row>
    <row r="34" spans="1:59">
      <c r="A34" s="169" t="s">
        <v>894</v>
      </c>
      <c r="B34" s="275">
        <v>1070000</v>
      </c>
      <c r="C34" s="167">
        <v>523000</v>
      </c>
      <c r="D34" s="167">
        <v>35100</v>
      </c>
      <c r="E34" s="167">
        <f t="shared" si="11"/>
        <v>-487900</v>
      </c>
      <c r="F34" s="202">
        <f t="shared" si="12"/>
        <v>-93.288718929254301</v>
      </c>
      <c r="P34" s="169" t="s">
        <v>894</v>
      </c>
      <c r="Q34" s="215">
        <f t="shared" si="10"/>
        <v>2.5366184886991947</v>
      </c>
      <c r="R34" s="215">
        <f t="shared" si="10"/>
        <v>0.17023959646910466</v>
      </c>
      <c r="S34" s="215">
        <f t="shared" si="13"/>
        <v>2.3663788922300899</v>
      </c>
      <c r="T34" s="218"/>
    </row>
    <row r="35" spans="1:59">
      <c r="A35" s="169" t="s">
        <v>895</v>
      </c>
      <c r="B35" s="275">
        <v>4250000</v>
      </c>
      <c r="C35" s="167">
        <v>2070000</v>
      </c>
      <c r="D35" s="167">
        <v>139000</v>
      </c>
      <c r="E35" s="167">
        <f t="shared" si="11"/>
        <v>-1931000</v>
      </c>
      <c r="F35" s="202">
        <f t="shared" si="12"/>
        <v>-93.285024154589365</v>
      </c>
      <c r="P35" s="169" t="s">
        <v>895</v>
      </c>
      <c r="Q35" s="215">
        <f t="shared" si="10"/>
        <v>10.039771073818994</v>
      </c>
      <c r="R35" s="215">
        <f t="shared" si="10"/>
        <v>0.6741682025414687</v>
      </c>
      <c r="S35" s="215">
        <f t="shared" si="13"/>
        <v>9.3656028712775257</v>
      </c>
      <c r="T35" s="218"/>
    </row>
    <row r="36" spans="1:59">
      <c r="A36" s="203" t="s">
        <v>646</v>
      </c>
      <c r="B36" s="204">
        <f>SUM(B30:B35)</f>
        <v>42213000</v>
      </c>
      <c r="C36" s="204">
        <f>SUM(C30:C35)</f>
        <v>20618000</v>
      </c>
      <c r="D36" s="204">
        <f>SUM(D30:D35)</f>
        <v>1380900</v>
      </c>
      <c r="E36" s="204">
        <f t="shared" si="11"/>
        <v>-19237100</v>
      </c>
      <c r="F36" s="199">
        <f t="shared" si="12"/>
        <v>-93.302454166262493</v>
      </c>
      <c r="P36" s="203" t="s">
        <v>646</v>
      </c>
      <c r="Q36" s="216">
        <f t="shared" si="10"/>
        <v>100</v>
      </c>
      <c r="R36" s="216">
        <f t="shared" si="10"/>
        <v>6.6975458337375118</v>
      </c>
      <c r="S36" s="216">
        <f t="shared" si="13"/>
        <v>93.302454166262493</v>
      </c>
      <c r="T36" s="219"/>
    </row>
    <row r="37" spans="1:59" ht="25.5">
      <c r="A37" s="169" t="s">
        <v>896</v>
      </c>
      <c r="C37" s="167">
        <v>20600000</v>
      </c>
      <c r="D37" s="167">
        <v>1380000</v>
      </c>
      <c r="E37" s="201"/>
      <c r="F37" s="201"/>
      <c r="P37" s="169" t="s">
        <v>896</v>
      </c>
      <c r="Q37" s="167">
        <v>20600000</v>
      </c>
      <c r="R37" s="167">
        <v>1380000</v>
      </c>
      <c r="S37" s="151" t="s">
        <v>1029</v>
      </c>
      <c r="T37" s="220"/>
    </row>
    <row r="38" spans="1:59" ht="15">
      <c r="A38" s="55" t="s">
        <v>312</v>
      </c>
      <c r="AY38" s="55" t="s">
        <v>317</v>
      </c>
      <c r="BG38" s="55" t="s">
        <v>318</v>
      </c>
    </row>
    <row r="39" spans="1:59" ht="51">
      <c r="A39" s="200" t="s">
        <v>897</v>
      </c>
      <c r="B39" s="148" t="s">
        <v>955</v>
      </c>
      <c r="C39" s="169" t="s">
        <v>835</v>
      </c>
      <c r="D39" s="169" t="s">
        <v>898</v>
      </c>
      <c r="E39" s="169" t="s">
        <v>899</v>
      </c>
      <c r="F39" s="169" t="s">
        <v>850</v>
      </c>
      <c r="G39" s="169" t="s">
        <v>867</v>
      </c>
      <c r="P39" s="200" t="s">
        <v>897</v>
      </c>
      <c r="Q39" s="169" t="s">
        <v>1119</v>
      </c>
      <c r="R39" s="169" t="s">
        <v>1122</v>
      </c>
      <c r="S39" s="169" t="s">
        <v>1123</v>
      </c>
      <c r="T39" s="169" t="s">
        <v>1121</v>
      </c>
      <c r="U39" s="217"/>
      <c r="AQ39" s="166"/>
      <c r="AR39" s="150" t="s">
        <v>298</v>
      </c>
      <c r="AS39" s="260" t="s">
        <v>1014</v>
      </c>
      <c r="AT39" s="150" t="s">
        <v>635</v>
      </c>
      <c r="AU39" s="166"/>
      <c r="AV39" s="150" t="s">
        <v>1105</v>
      </c>
      <c r="AW39" s="260" t="s">
        <v>1021</v>
      </c>
      <c r="AX39" s="150" t="s">
        <v>299</v>
      </c>
    </row>
    <row r="40" spans="1:59" ht="25.5">
      <c r="A40" s="169" t="s">
        <v>1191</v>
      </c>
      <c r="B40" s="275">
        <v>171000000</v>
      </c>
      <c r="C40" s="167">
        <v>141000000</v>
      </c>
      <c r="D40" s="167">
        <v>128000000</v>
      </c>
      <c r="E40" s="167">
        <v>1150000</v>
      </c>
      <c r="F40" s="167">
        <f>(C40-D40-E40)*-1</f>
        <v>-11850000</v>
      </c>
      <c r="G40" s="202">
        <f>(F40/C40)*100</f>
        <v>-8.4042553191489358</v>
      </c>
      <c r="P40" s="169" t="s">
        <v>1191</v>
      </c>
      <c r="Q40" s="215">
        <f t="shared" ref="Q40:Q48" si="14">(C40/$C$48)*100</f>
        <v>48.069055801014564</v>
      </c>
      <c r="R40" s="215">
        <f t="shared" ref="R40:R48" si="15">(D40/$C$48)*100</f>
        <v>43.637157039218891</v>
      </c>
      <c r="S40" s="215">
        <f t="shared" ref="S40:S48" si="16">(E40/$C$48)*100</f>
        <v>0.39205258277423227</v>
      </c>
      <c r="T40" s="215">
        <f>(Q40-R40-S40)</f>
        <v>4.0398461790214402</v>
      </c>
      <c r="U40" s="218"/>
      <c r="AQ40" s="150" t="s">
        <v>868</v>
      </c>
      <c r="AR40" s="151">
        <v>74400000</v>
      </c>
      <c r="AS40" s="280">
        <v>61300000</v>
      </c>
      <c r="AT40" s="151">
        <v>55700000</v>
      </c>
      <c r="AU40" s="150" t="s">
        <v>868</v>
      </c>
      <c r="AV40" s="207">
        <f>(AR40/$AR$48)*100</f>
        <v>10.122448979591837</v>
      </c>
      <c r="AW40" s="207">
        <f>(AS40/$AR$48)*100</f>
        <v>8.3401360544217695</v>
      </c>
      <c r="AX40" s="207">
        <f t="shared" ref="AX40:AX47" si="17">(AT40/$AR$48)*100</f>
        <v>7.5782312925170068</v>
      </c>
    </row>
    <row r="41" spans="1:59" ht="28.5" customHeight="1">
      <c r="A41" s="169" t="s">
        <v>564</v>
      </c>
      <c r="B41" s="275">
        <v>140000000</v>
      </c>
      <c r="C41" s="167">
        <v>115000000</v>
      </c>
      <c r="D41" s="167">
        <v>105000000</v>
      </c>
      <c r="E41" s="167">
        <v>942000</v>
      </c>
      <c r="F41" s="167">
        <f t="shared" ref="F41:F48" si="18">(C41-D41-E41)*-1</f>
        <v>-9058000</v>
      </c>
      <c r="G41" s="202">
        <f t="shared" ref="G41:G48" si="19">(F41/C41)*100</f>
        <v>-7.8765217391304345</v>
      </c>
      <c r="P41" s="169" t="s">
        <v>564</v>
      </c>
      <c r="Q41" s="215">
        <f t="shared" si="14"/>
        <v>39.205258277423226</v>
      </c>
      <c r="R41" s="215">
        <f t="shared" si="15"/>
        <v>35.79610538373425</v>
      </c>
      <c r="S41" s="215">
        <f t="shared" si="16"/>
        <v>0.32114220258550152</v>
      </c>
      <c r="T41" s="215">
        <f t="shared" ref="T41:T48" si="20">(Q41-R41-S41)</f>
        <v>3.0880106911034746</v>
      </c>
      <c r="U41" s="218"/>
      <c r="AQ41" s="150" t="s">
        <v>869</v>
      </c>
      <c r="AR41" s="150">
        <v>0</v>
      </c>
      <c r="AS41" s="150">
        <v>0</v>
      </c>
      <c r="AT41" s="151">
        <v>1000000</v>
      </c>
      <c r="AU41" s="150" t="s">
        <v>869</v>
      </c>
      <c r="AV41" s="207">
        <f t="shared" ref="AV41:AV46" si="21">(AR41/$AR$48)*100</f>
        <v>0</v>
      </c>
      <c r="AW41" s="207">
        <f t="shared" ref="AW41:AW47" si="22">(AS41/$AR$48)*100</f>
        <v>0</v>
      </c>
      <c r="AX41" s="207">
        <f t="shared" si="17"/>
        <v>0.13605442176870747</v>
      </c>
    </row>
    <row r="42" spans="1:59">
      <c r="A42" s="169" t="s">
        <v>123</v>
      </c>
      <c r="B42" s="275">
        <v>4190000</v>
      </c>
      <c r="C42" s="167">
        <v>3450000</v>
      </c>
      <c r="D42" s="167">
        <v>3140000</v>
      </c>
      <c r="E42" s="167">
        <v>28300</v>
      </c>
      <c r="F42" s="167">
        <f t="shared" si="18"/>
        <v>-281700</v>
      </c>
      <c r="G42" s="202">
        <f t="shared" si="19"/>
        <v>-8.1652173913043491</v>
      </c>
      <c r="P42" s="169" t="s">
        <v>123</v>
      </c>
      <c r="Q42" s="215">
        <f t="shared" si="14"/>
        <v>1.1761577483226968</v>
      </c>
      <c r="R42" s="215">
        <f t="shared" si="15"/>
        <v>1.0704740086183386</v>
      </c>
      <c r="S42" s="215">
        <f t="shared" si="16"/>
        <v>9.6479026891398024E-3</v>
      </c>
      <c r="T42" s="215">
        <f t="shared" si="20"/>
        <v>9.6035837015218381E-2</v>
      </c>
      <c r="U42" s="218"/>
      <c r="AQ42" s="276" t="s">
        <v>1017</v>
      </c>
      <c r="AR42" s="277">
        <v>75400000</v>
      </c>
      <c r="AS42" s="281">
        <v>36400000</v>
      </c>
      <c r="AT42" s="151">
        <v>29600000</v>
      </c>
      <c r="AU42" s="276" t="s">
        <v>870</v>
      </c>
      <c r="AV42" s="207">
        <f t="shared" si="21"/>
        <v>10.258503401360544</v>
      </c>
      <c r="AW42" s="207">
        <f t="shared" si="22"/>
        <v>4.9523809523809526</v>
      </c>
      <c r="AX42" s="207">
        <f t="shared" si="17"/>
        <v>4.0272108843537415</v>
      </c>
    </row>
    <row r="43" spans="1:59" ht="25.5">
      <c r="A43" s="169" t="s">
        <v>558</v>
      </c>
      <c r="B43" s="275">
        <v>1410000</v>
      </c>
      <c r="C43" s="167">
        <v>1160000</v>
      </c>
      <c r="D43" s="167">
        <v>1060000</v>
      </c>
      <c r="E43" s="167">
        <v>9540</v>
      </c>
      <c r="F43" s="167">
        <f t="shared" si="18"/>
        <v>-90460</v>
      </c>
      <c r="G43" s="202">
        <f t="shared" si="19"/>
        <v>-7.7982758620689649</v>
      </c>
      <c r="P43" s="169" t="s">
        <v>558</v>
      </c>
      <c r="Q43" s="215">
        <f t="shared" si="14"/>
        <v>0.39546173566792125</v>
      </c>
      <c r="R43" s="215">
        <f t="shared" si="15"/>
        <v>0.36137020673103148</v>
      </c>
      <c r="S43" s="215">
        <f t="shared" si="16"/>
        <v>3.252331860579283E-3</v>
      </c>
      <c r="T43" s="215">
        <f t="shared" si="20"/>
        <v>3.0839197076310488E-2</v>
      </c>
      <c r="U43" s="218"/>
      <c r="AQ43" s="158" t="s">
        <v>1020</v>
      </c>
      <c r="AR43" s="166">
        <v>0</v>
      </c>
      <c r="AS43" s="282">
        <v>0</v>
      </c>
      <c r="AT43" s="159">
        <v>2640000</v>
      </c>
      <c r="AU43" s="158" t="s">
        <v>1018</v>
      </c>
      <c r="AV43" s="207">
        <f t="shared" si="21"/>
        <v>0</v>
      </c>
      <c r="AW43" s="207">
        <f t="shared" si="22"/>
        <v>0</v>
      </c>
      <c r="AX43" s="207">
        <f t="shared" si="17"/>
        <v>0.35918367346938773</v>
      </c>
    </row>
    <row r="44" spans="1:59" ht="25.5">
      <c r="A44" s="169" t="s">
        <v>900</v>
      </c>
      <c r="B44" s="275">
        <v>25900000</v>
      </c>
      <c r="C44" s="167">
        <v>21300000</v>
      </c>
      <c r="D44" s="167">
        <v>19400000</v>
      </c>
      <c r="E44" s="167">
        <v>175000</v>
      </c>
      <c r="F44" s="167">
        <f t="shared" si="18"/>
        <v>-1725000</v>
      </c>
      <c r="G44" s="202">
        <f t="shared" si="19"/>
        <v>-8.0985915492957758</v>
      </c>
      <c r="P44" s="169" t="s">
        <v>517</v>
      </c>
      <c r="Q44" s="215">
        <f t="shared" si="14"/>
        <v>7.2614956635575201</v>
      </c>
      <c r="R44" s="215">
        <f t="shared" si="15"/>
        <v>6.6137566137566131</v>
      </c>
      <c r="S44" s="215">
        <f t="shared" si="16"/>
        <v>5.9660175639557084E-2</v>
      </c>
      <c r="T44" s="215">
        <f t="shared" si="20"/>
        <v>0.58807887416134996</v>
      </c>
      <c r="U44" s="218"/>
      <c r="AQ44" s="278" t="s">
        <v>770</v>
      </c>
      <c r="AR44" s="279">
        <v>42200000</v>
      </c>
      <c r="AS44" s="283">
        <v>20600000</v>
      </c>
      <c r="AT44" s="151">
        <v>1380000</v>
      </c>
      <c r="AU44" s="278" t="s">
        <v>770</v>
      </c>
      <c r="AV44" s="207">
        <f t="shared" si="21"/>
        <v>5.7414965986394551</v>
      </c>
      <c r="AW44" s="207">
        <f t="shared" si="22"/>
        <v>2.8027210884353742</v>
      </c>
      <c r="AX44" s="207">
        <f t="shared" si="17"/>
        <v>0.18775510204081633</v>
      </c>
    </row>
    <row r="45" spans="1:59" ht="25.5">
      <c r="A45" s="169" t="s">
        <v>894</v>
      </c>
      <c r="B45" s="275">
        <v>2870000</v>
      </c>
      <c r="C45" s="167">
        <v>2360000</v>
      </c>
      <c r="D45" s="167">
        <v>2150000</v>
      </c>
      <c r="E45" s="167">
        <v>19400</v>
      </c>
      <c r="F45" s="167">
        <f t="shared" si="18"/>
        <v>-190600</v>
      </c>
      <c r="G45" s="202">
        <f t="shared" si="19"/>
        <v>-8.0762711864406782</v>
      </c>
      <c r="P45" s="169" t="s">
        <v>894</v>
      </c>
      <c r="Q45" s="215">
        <f t="shared" si="14"/>
        <v>0.80456008291059833</v>
      </c>
      <c r="R45" s="215">
        <f t="shared" si="15"/>
        <v>0.73296787214312986</v>
      </c>
      <c r="S45" s="215">
        <f t="shared" si="16"/>
        <v>6.6137566137566143E-3</v>
      </c>
      <c r="T45" s="215">
        <f t="shared" si="20"/>
        <v>6.4978454153711854E-2</v>
      </c>
      <c r="U45" s="218"/>
      <c r="AQ45" s="150" t="s">
        <v>1158</v>
      </c>
      <c r="AR45" s="151">
        <v>187000000</v>
      </c>
      <c r="AS45" s="280">
        <v>93300000</v>
      </c>
      <c r="AT45" s="151">
        <v>93300000</v>
      </c>
      <c r="AU45" s="150" t="s">
        <v>1158</v>
      </c>
      <c r="AV45" s="207">
        <f t="shared" si="21"/>
        <v>25.442176870748302</v>
      </c>
      <c r="AW45" s="207">
        <f t="shared" si="22"/>
        <v>12.693877551020408</v>
      </c>
      <c r="AX45" s="207">
        <f t="shared" si="17"/>
        <v>12.693877551020408</v>
      </c>
    </row>
    <row r="46" spans="1:59" ht="25.5">
      <c r="A46" s="169" t="s">
        <v>901</v>
      </c>
      <c r="B46" s="275">
        <v>10800000</v>
      </c>
      <c r="C46" s="167">
        <v>8920000</v>
      </c>
      <c r="D46" s="167">
        <v>8110000</v>
      </c>
      <c r="E46" s="167">
        <v>73100</v>
      </c>
      <c r="F46" s="167">
        <f t="shared" si="18"/>
        <v>-736900</v>
      </c>
      <c r="G46" s="202">
        <f t="shared" si="19"/>
        <v>-8.2612107623318387</v>
      </c>
      <c r="P46" s="169" t="s">
        <v>901</v>
      </c>
      <c r="Q46" s="215">
        <f t="shared" si="14"/>
        <v>3.0409643811705669</v>
      </c>
      <c r="R46" s="215">
        <f t="shared" si="15"/>
        <v>2.7648229967817595</v>
      </c>
      <c r="S46" s="215">
        <f t="shared" si="16"/>
        <v>2.4920907652866416E-2</v>
      </c>
      <c r="T46" s="215">
        <f t="shared" si="20"/>
        <v>0.251220476735941</v>
      </c>
      <c r="U46" s="218"/>
      <c r="AQ46" s="150" t="s">
        <v>891</v>
      </c>
      <c r="AR46" s="151">
        <v>356000000</v>
      </c>
      <c r="AS46" s="280">
        <v>293000000</v>
      </c>
      <c r="AT46" s="151">
        <v>267000000</v>
      </c>
      <c r="AU46" s="150" t="s">
        <v>891</v>
      </c>
      <c r="AV46" s="207">
        <f t="shared" si="21"/>
        <v>48.435374149659864</v>
      </c>
      <c r="AW46" s="207">
        <f t="shared" si="22"/>
        <v>39.863945578231288</v>
      </c>
      <c r="AX46" s="207">
        <f t="shared" si="17"/>
        <v>36.326530612244902</v>
      </c>
    </row>
    <row r="47" spans="1:59" ht="25.5">
      <c r="A47" s="169" t="s">
        <v>895</v>
      </c>
      <c r="B47" s="275">
        <v>168000</v>
      </c>
      <c r="C47" s="167">
        <v>138000</v>
      </c>
      <c r="D47" s="167">
        <v>126000</v>
      </c>
      <c r="E47" s="167">
        <v>1130</v>
      </c>
      <c r="F47" s="167">
        <f t="shared" si="18"/>
        <v>-10870</v>
      </c>
      <c r="G47" s="202">
        <f t="shared" si="19"/>
        <v>-7.8768115942028984</v>
      </c>
      <c r="P47" s="169" t="s">
        <v>895</v>
      </c>
      <c r="Q47" s="215">
        <f t="shared" si="14"/>
        <v>4.704630993290787E-2</v>
      </c>
      <c r="R47" s="215">
        <f t="shared" si="15"/>
        <v>4.29553264604811E-2</v>
      </c>
      <c r="S47" s="215">
        <f t="shared" si="16"/>
        <v>3.8523427698685433E-4</v>
      </c>
      <c r="T47" s="215">
        <f t="shared" si="20"/>
        <v>3.7057491954399164E-3</v>
      </c>
      <c r="U47" s="218"/>
      <c r="AQ47" s="150" t="s">
        <v>1019</v>
      </c>
      <c r="AR47" s="150">
        <v>0</v>
      </c>
      <c r="AS47" s="150">
        <v>0</v>
      </c>
      <c r="AT47" s="151">
        <v>2400000</v>
      </c>
      <c r="AU47" s="150" t="s">
        <v>1019</v>
      </c>
      <c r="AV47" s="207">
        <v>0</v>
      </c>
      <c r="AW47" s="207">
        <f t="shared" si="22"/>
        <v>0</v>
      </c>
      <c r="AX47" s="207">
        <f t="shared" si="17"/>
        <v>0.32653061224489799</v>
      </c>
    </row>
    <row r="48" spans="1:59">
      <c r="A48" s="203" t="s">
        <v>646</v>
      </c>
      <c r="B48" s="204">
        <f>SUM(B40:B47)</f>
        <v>356338000</v>
      </c>
      <c r="C48" s="204">
        <f>SUM(C40:C47)</f>
        <v>293328000</v>
      </c>
      <c r="D48" s="204">
        <f>SUM(D40:D47)</f>
        <v>266986000</v>
      </c>
      <c r="E48" s="204">
        <f>SUM(E40:E47)</f>
        <v>2398470</v>
      </c>
      <c r="F48" s="204">
        <f t="shared" si="18"/>
        <v>-23943530</v>
      </c>
      <c r="G48" s="199">
        <f t="shared" si="19"/>
        <v>-8.1627154584628805</v>
      </c>
      <c r="P48" s="203" t="s">
        <v>646</v>
      </c>
      <c r="Q48" s="216">
        <f t="shared" si="14"/>
        <v>100</v>
      </c>
      <c r="R48" s="216">
        <f t="shared" si="15"/>
        <v>91.019609447444495</v>
      </c>
      <c r="S48" s="216">
        <f t="shared" si="16"/>
        <v>0.81767509409261985</v>
      </c>
      <c r="T48" s="216">
        <f t="shared" si="20"/>
        <v>8.1627154584628858</v>
      </c>
      <c r="U48" s="219"/>
      <c r="AQ48" s="150" t="s">
        <v>646</v>
      </c>
      <c r="AR48" s="151">
        <f>SUM(AR40:AR47)</f>
        <v>735000000</v>
      </c>
      <c r="AS48" s="280">
        <f>SUM(AS40:AS47)</f>
        <v>504600000</v>
      </c>
      <c r="AT48" s="280">
        <f>SUM(AT40:AT47)</f>
        <v>453020000</v>
      </c>
      <c r="AU48" s="158" t="s">
        <v>646</v>
      </c>
      <c r="AV48" s="284">
        <f>SUM(AV40:AV47)</f>
        <v>100</v>
      </c>
      <c r="AW48" s="284">
        <f>SUM(AW40:AW47)</f>
        <v>68.65306122448979</v>
      </c>
      <c r="AX48" s="284">
        <f>SUM(AX40:AX47)</f>
        <v>61.635374149659867</v>
      </c>
    </row>
    <row r="49" spans="1:50" ht="38.25">
      <c r="A49" s="169" t="s">
        <v>896</v>
      </c>
      <c r="C49" s="167">
        <v>293000000</v>
      </c>
      <c r="D49" s="167">
        <v>267000000</v>
      </c>
      <c r="E49" s="167">
        <v>2400000</v>
      </c>
      <c r="F49" s="167"/>
      <c r="G49" s="202"/>
      <c r="P49" s="169" t="s">
        <v>132</v>
      </c>
      <c r="Q49" s="167">
        <v>293000000</v>
      </c>
      <c r="R49" s="167">
        <v>267000000</v>
      </c>
      <c r="S49" s="167">
        <v>2400000</v>
      </c>
      <c r="T49" s="151">
        <f>(Q49-R49-S49)</f>
        <v>23600000</v>
      </c>
      <c r="U49" s="218"/>
    </row>
    <row r="50" spans="1:50" ht="15">
      <c r="A50" s="55" t="s">
        <v>311</v>
      </c>
    </row>
    <row r="51" spans="1:50" ht="38.25">
      <c r="A51" s="200" t="s">
        <v>1015</v>
      </c>
      <c r="B51" s="169" t="s">
        <v>634</v>
      </c>
      <c r="C51" s="169" t="s">
        <v>635</v>
      </c>
      <c r="D51" s="169" t="s">
        <v>850</v>
      </c>
      <c r="E51" s="169" t="s">
        <v>867</v>
      </c>
      <c r="P51" s="200" t="s">
        <v>130</v>
      </c>
      <c r="Q51" s="169" t="s">
        <v>1119</v>
      </c>
      <c r="R51" s="169" t="s">
        <v>1120</v>
      </c>
      <c r="S51" s="169" t="s">
        <v>1121</v>
      </c>
      <c r="T51" s="217"/>
    </row>
    <row r="52" spans="1:50">
      <c r="A52" s="169" t="s">
        <v>1191</v>
      </c>
      <c r="B52" s="167">
        <f>+(10500000+40300000+12000000)</f>
        <v>62800000</v>
      </c>
      <c r="C52" s="167">
        <f>(40300000+12000000+702000)</f>
        <v>53002000</v>
      </c>
      <c r="D52" s="167">
        <f>(B52-C52)*-1</f>
        <v>-9798000</v>
      </c>
      <c r="E52" s="202">
        <f>(D52/B52)*100</f>
        <v>-15.601910828025478</v>
      </c>
      <c r="P52" s="169" t="s">
        <v>1191</v>
      </c>
      <c r="Q52" s="215">
        <f>(B52/$B$60)*100</f>
        <v>55.171105100076687</v>
      </c>
      <c r="R52" s="215">
        <f t="shared" ref="R52:R60" si="23">(C52/$B$60)*100</f>
        <v>46.563358479526514</v>
      </c>
      <c r="S52" s="215">
        <f>(Q52-R52)</f>
        <v>8.6077466205501736</v>
      </c>
      <c r="T52" s="218"/>
    </row>
    <row r="53" spans="1:50" ht="17.25" customHeight="1">
      <c r="A53" s="169" t="s">
        <v>564</v>
      </c>
      <c r="B53" s="167">
        <f>(5190000+8860000+3360000)</f>
        <v>17410000</v>
      </c>
      <c r="C53" s="167">
        <f>(348000+8860000+3360000)</f>
        <v>12568000</v>
      </c>
      <c r="D53" s="167">
        <f t="shared" ref="D53:D60" si="24">(B53-C53)*-1</f>
        <v>-4842000</v>
      </c>
      <c r="E53" s="202">
        <f t="shared" ref="E53:E60" si="25">(D53/B53)*100</f>
        <v>-27.811602527283171</v>
      </c>
      <c r="P53" s="169" t="s">
        <v>564</v>
      </c>
      <c r="Q53" s="215">
        <f t="shared" ref="Q53:Q60" si="26">(B53/$B$60)*100</f>
        <v>15.295046811979862</v>
      </c>
      <c r="R53" s="215">
        <f t="shared" si="23"/>
        <v>11.041249186270125</v>
      </c>
      <c r="S53" s="215">
        <f t="shared" ref="S53:S60" si="27">(Q53-R53)</f>
        <v>4.253797625709737</v>
      </c>
      <c r="T53" s="218"/>
    </row>
    <row r="54" spans="1:50">
      <c r="A54" s="169" t="s">
        <v>123</v>
      </c>
      <c r="B54" s="167">
        <f>(2070000+351000)</f>
        <v>2421000</v>
      </c>
      <c r="C54" s="167">
        <f>(139000+351000)</f>
        <v>490000</v>
      </c>
      <c r="D54" s="167">
        <f t="shared" si="24"/>
        <v>-1931000</v>
      </c>
      <c r="E54" s="202">
        <f t="shared" si="25"/>
        <v>-79.760429574555971</v>
      </c>
      <c r="P54" s="169" t="s">
        <v>123</v>
      </c>
      <c r="Q54" s="215">
        <f t="shared" si="26"/>
        <v>2.1268988128548676</v>
      </c>
      <c r="R54" s="215">
        <f t="shared" si="23"/>
        <v>0.43047518310569394</v>
      </c>
      <c r="S54" s="215">
        <f t="shared" si="27"/>
        <v>1.6964236297491737</v>
      </c>
      <c r="T54" s="218"/>
    </row>
    <row r="55" spans="1:50">
      <c r="A55" s="169" t="s">
        <v>558</v>
      </c>
      <c r="B55" s="167">
        <f>(265000+578000)</f>
        <v>843000</v>
      </c>
      <c r="C55" s="167">
        <f>(17800+578000)</f>
        <v>595800</v>
      </c>
      <c r="D55" s="167">
        <f t="shared" si="24"/>
        <v>-247200</v>
      </c>
      <c r="E55" s="202">
        <f t="shared" si="25"/>
        <v>-29.323843416370103</v>
      </c>
      <c r="P55" s="169" t="s">
        <v>558</v>
      </c>
      <c r="Q55" s="215">
        <f t="shared" si="26"/>
        <v>0.74059301909816333</v>
      </c>
      <c r="R55" s="215">
        <f t="shared" si="23"/>
        <v>0.52342268182524998</v>
      </c>
      <c r="S55" s="215">
        <f t="shared" si="27"/>
        <v>0.21717033727291335</v>
      </c>
      <c r="T55" s="218"/>
    </row>
    <row r="56" spans="1:50">
      <c r="A56" s="169" t="s">
        <v>900</v>
      </c>
      <c r="B56" s="167">
        <v>25600000</v>
      </c>
      <c r="C56" s="167">
        <v>25600000</v>
      </c>
      <c r="D56" s="167">
        <f t="shared" si="24"/>
        <v>0</v>
      </c>
      <c r="E56" s="202">
        <f t="shared" si="25"/>
        <v>0</v>
      </c>
      <c r="P56" s="169" t="s">
        <v>517</v>
      </c>
      <c r="Q56" s="215">
        <f t="shared" si="26"/>
        <v>22.490132015317887</v>
      </c>
      <c r="R56" s="215">
        <f t="shared" si="23"/>
        <v>22.490132015317887</v>
      </c>
      <c r="S56" s="215">
        <f t="shared" si="27"/>
        <v>0</v>
      </c>
      <c r="T56" s="218"/>
    </row>
    <row r="57" spans="1:50">
      <c r="A57" s="169" t="s">
        <v>894</v>
      </c>
      <c r="B57" s="167">
        <f>(523000+968000)</f>
        <v>1491000</v>
      </c>
      <c r="C57" s="167">
        <f>(31300+968000)</f>
        <v>999300</v>
      </c>
      <c r="D57" s="167">
        <f t="shared" si="24"/>
        <v>-491700</v>
      </c>
      <c r="E57" s="202">
        <f t="shared" si="25"/>
        <v>-32.977867203219311</v>
      </c>
      <c r="P57" s="169" t="s">
        <v>894</v>
      </c>
      <c r="Q57" s="215">
        <f t="shared" si="26"/>
        <v>1.3098744857358973</v>
      </c>
      <c r="R57" s="215">
        <f t="shared" si="23"/>
        <v>0.87790581730106121</v>
      </c>
      <c r="S57" s="215">
        <f t="shared" si="27"/>
        <v>0.43196866843483606</v>
      </c>
      <c r="T57" s="218"/>
    </row>
    <row r="58" spans="1:50">
      <c r="A58" s="169" t="s">
        <v>901</v>
      </c>
      <c r="B58" s="167">
        <v>1140000</v>
      </c>
      <c r="C58" s="167">
        <v>1140000</v>
      </c>
      <c r="D58" s="167">
        <f t="shared" si="24"/>
        <v>0</v>
      </c>
      <c r="E58" s="202">
        <f t="shared" si="25"/>
        <v>0</v>
      </c>
      <c r="P58" s="169" t="s">
        <v>901</v>
      </c>
      <c r="Q58" s="215">
        <f t="shared" si="26"/>
        <v>1.0015136913071248</v>
      </c>
      <c r="R58" s="215">
        <f t="shared" si="23"/>
        <v>1.0015136913071248</v>
      </c>
      <c r="S58" s="215">
        <f t="shared" si="27"/>
        <v>0</v>
      </c>
      <c r="T58" s="218"/>
    </row>
    <row r="59" spans="1:50">
      <c r="A59" s="169" t="s">
        <v>895</v>
      </c>
      <c r="B59" s="167">
        <f>(2070000+52700)</f>
        <v>2122700</v>
      </c>
      <c r="C59" s="167">
        <f>(139000+52700)</f>
        <v>191700</v>
      </c>
      <c r="D59" s="167">
        <f t="shared" si="24"/>
        <v>-1931000</v>
      </c>
      <c r="E59" s="202">
        <f t="shared" si="25"/>
        <v>-90.969048852876057</v>
      </c>
      <c r="P59" s="169" t="s">
        <v>895</v>
      </c>
      <c r="Q59" s="215">
        <f t="shared" si="26"/>
        <v>1.8648360636295034</v>
      </c>
      <c r="R59" s="215">
        <f t="shared" si="23"/>
        <v>0.16841243388032967</v>
      </c>
      <c r="S59" s="215">
        <f t="shared" si="27"/>
        <v>1.6964236297491737</v>
      </c>
      <c r="T59" s="218"/>
    </row>
    <row r="60" spans="1:50">
      <c r="A60" s="203" t="s">
        <v>646</v>
      </c>
      <c r="B60" s="204">
        <f>SUM(B52:B59)</f>
        <v>113827700</v>
      </c>
      <c r="C60" s="204">
        <f>SUM(C52:C59)</f>
        <v>94586800</v>
      </c>
      <c r="D60" s="204">
        <f t="shared" si="24"/>
        <v>-19240900</v>
      </c>
      <c r="E60" s="199">
        <f t="shared" si="25"/>
        <v>-16.903530511466013</v>
      </c>
      <c r="P60" s="203" t="s">
        <v>646</v>
      </c>
      <c r="Q60" s="216">
        <f t="shared" si="26"/>
        <v>100</v>
      </c>
      <c r="R60" s="216">
        <f t="shared" si="23"/>
        <v>83.096469488533984</v>
      </c>
      <c r="S60" s="216">
        <f t="shared" si="27"/>
        <v>16.903530511466016</v>
      </c>
      <c r="T60" s="219"/>
    </row>
    <row r="61" spans="1:50" ht="27.75" customHeight="1">
      <c r="A61" s="169" t="s">
        <v>768</v>
      </c>
      <c r="B61" s="167">
        <f>(93300000+20600000)</f>
        <v>113900000</v>
      </c>
      <c r="C61" s="167">
        <f>(93300000+1380000)</f>
        <v>94680000</v>
      </c>
      <c r="D61" s="167"/>
      <c r="E61" s="202"/>
      <c r="P61" s="169" t="s">
        <v>131</v>
      </c>
      <c r="Q61" s="167">
        <f>(93300000+20600000)</f>
        <v>113900000</v>
      </c>
      <c r="R61" s="167">
        <f>(93300000+1380000)</f>
        <v>94680000</v>
      </c>
      <c r="S61" s="151"/>
      <c r="T61" s="218"/>
    </row>
    <row r="63" spans="1:50" ht="51">
      <c r="A63" s="200" t="s">
        <v>771</v>
      </c>
      <c r="B63" s="169" t="s">
        <v>634</v>
      </c>
      <c r="C63" s="169" t="s">
        <v>635</v>
      </c>
      <c r="D63" s="200" t="s">
        <v>1133</v>
      </c>
      <c r="E63" s="200" t="s">
        <v>133</v>
      </c>
      <c r="P63" s="200" t="s">
        <v>771</v>
      </c>
      <c r="Q63" s="169" t="s">
        <v>1133</v>
      </c>
      <c r="R63" s="169" t="s">
        <v>1134</v>
      </c>
      <c r="S63" s="222"/>
      <c r="T63" s="222" t="s">
        <v>1044</v>
      </c>
      <c r="U63" s="222" t="s">
        <v>1134</v>
      </c>
      <c r="AI63" s="150" t="s">
        <v>430</v>
      </c>
      <c r="AJ63" s="150" t="s">
        <v>920</v>
      </c>
      <c r="AK63" s="150" t="s">
        <v>1031</v>
      </c>
      <c r="AL63" s="150" t="s">
        <v>1147</v>
      </c>
      <c r="AM63" s="150" t="s">
        <v>1148</v>
      </c>
      <c r="AN63" s="168" t="s">
        <v>1149</v>
      </c>
      <c r="AO63" s="168" t="s">
        <v>1150</v>
      </c>
      <c r="AQ63" s="150" t="s">
        <v>430</v>
      </c>
      <c r="AR63" s="150" t="s">
        <v>634</v>
      </c>
      <c r="AS63" s="150" t="s">
        <v>1014</v>
      </c>
      <c r="AT63" s="158" t="s">
        <v>635</v>
      </c>
      <c r="AU63" s="150" t="s">
        <v>430</v>
      </c>
      <c r="AV63" s="150" t="s">
        <v>1177</v>
      </c>
      <c r="AW63" s="150" t="s">
        <v>1021</v>
      </c>
      <c r="AX63" s="158" t="s">
        <v>1178</v>
      </c>
    </row>
    <row r="64" spans="1:50" ht="25.5">
      <c r="A64" s="169" t="s">
        <v>877</v>
      </c>
      <c r="B64" s="167">
        <v>14000000</v>
      </c>
      <c r="C64" s="167">
        <v>12700000</v>
      </c>
      <c r="D64" s="215">
        <f>(B64/505000000)*100</f>
        <v>2.7722772277227725</v>
      </c>
      <c r="E64" s="215">
        <f>(C64/505000000)*100</f>
        <v>2.5148514851485149</v>
      </c>
      <c r="P64" s="169" t="s">
        <v>974</v>
      </c>
      <c r="Q64" s="215">
        <f>(B64/$B$26)*100</f>
        <v>2.7744748315497425</v>
      </c>
      <c r="R64" s="215">
        <f>(C64/$B$26)*100</f>
        <v>2.5168450257629806</v>
      </c>
      <c r="S64" s="259" t="s">
        <v>1091</v>
      </c>
      <c r="T64" s="259">
        <f>(Q64+Q65)</f>
        <v>2.7744750297265162</v>
      </c>
      <c r="U64" s="259">
        <f>(R64+R65)</f>
        <v>2.6111771700356718</v>
      </c>
      <c r="V64" s="148"/>
      <c r="AI64" s="150" t="s">
        <v>108</v>
      </c>
      <c r="AJ64" s="151">
        <v>4430000</v>
      </c>
      <c r="AK64" s="151">
        <v>37300000</v>
      </c>
      <c r="AL64" s="151">
        <v>2740000</v>
      </c>
      <c r="AM64" s="151">
        <v>25200000</v>
      </c>
      <c r="AN64" s="151">
        <v>2500000</v>
      </c>
      <c r="AO64" s="151">
        <v>22300000</v>
      </c>
      <c r="AQ64" s="150" t="s">
        <v>108</v>
      </c>
      <c r="AR64" s="151">
        <v>41700000</v>
      </c>
      <c r="AS64" s="151">
        <v>27900000</v>
      </c>
      <c r="AT64" s="167">
        <f>(AN64+AO64)</f>
        <v>24800000</v>
      </c>
      <c r="AU64" s="150" t="s">
        <v>108</v>
      </c>
      <c r="AV64" s="207">
        <f>(AR64/$AR$76)*100</f>
        <v>5.6734693877551017</v>
      </c>
      <c r="AW64" s="207">
        <f t="shared" ref="AW64:AX75" si="28">(AS64/$AR$76)*100</f>
        <v>3.7959183673469385</v>
      </c>
      <c r="AX64" s="170">
        <f t="shared" si="28"/>
        <v>3.3741496598639453</v>
      </c>
    </row>
    <row r="65" spans="1:58" ht="25.5">
      <c r="A65" s="169" t="s">
        <v>1252</v>
      </c>
      <c r="B65" s="167">
        <v>1</v>
      </c>
      <c r="C65" s="167">
        <v>476000</v>
      </c>
      <c r="D65" s="215">
        <f>(B65/505000000)*100</f>
        <v>1.98019801980198E-7</v>
      </c>
      <c r="E65" s="215">
        <f t="shared" ref="E65:E79" si="29">(C65/505000000)*100</f>
        <v>9.4257425742574258E-2</v>
      </c>
      <c r="P65" s="169" t="s">
        <v>975</v>
      </c>
      <c r="Q65" s="215">
        <f t="shared" ref="Q65:Q78" si="30">(B65/$B$26)*100</f>
        <v>1.9817677368212446E-7</v>
      </c>
      <c r="R65" s="215">
        <f t="shared" ref="Q65:R79" si="31">(C65/$B$26)*100</f>
        <v>9.4332144272691237E-2</v>
      </c>
      <c r="S65" s="259" t="s">
        <v>1092</v>
      </c>
      <c r="T65" s="259">
        <f>(Q66+Q67)</f>
        <v>3.4284583828775266</v>
      </c>
      <c r="U65" s="259">
        <f>(R66+R67)</f>
        <v>3.0420134760206103</v>
      </c>
      <c r="V65" s="148"/>
      <c r="AI65" s="150" t="s">
        <v>109</v>
      </c>
      <c r="AJ65" s="151">
        <v>30400</v>
      </c>
      <c r="AK65" s="151">
        <v>228000</v>
      </c>
      <c r="AL65" s="151">
        <v>17700</v>
      </c>
      <c r="AM65" s="151">
        <v>157000</v>
      </c>
      <c r="AN65" s="151">
        <v>16100</v>
      </c>
      <c r="AO65" s="151">
        <v>139000</v>
      </c>
      <c r="AQ65" s="150" t="s">
        <v>109</v>
      </c>
      <c r="AR65" s="151">
        <v>258000</v>
      </c>
      <c r="AS65" s="151">
        <v>177000</v>
      </c>
      <c r="AT65" s="167">
        <f t="shared" ref="AT65:AT75" si="32">(AN65+AO65)</f>
        <v>155100</v>
      </c>
      <c r="AU65" s="150" t="s">
        <v>109</v>
      </c>
      <c r="AV65" s="207">
        <f t="shared" ref="AV65:AV75" si="33">(AR65/$AR$76)*100</f>
        <v>3.5102040816326528E-2</v>
      </c>
      <c r="AW65" s="207">
        <f t="shared" si="28"/>
        <v>2.4081632653061222E-2</v>
      </c>
      <c r="AX65" s="170">
        <f t="shared" si="28"/>
        <v>2.110204081632653E-2</v>
      </c>
    </row>
    <row r="66" spans="1:58" ht="25.5">
      <c r="A66" s="169" t="s">
        <v>878</v>
      </c>
      <c r="B66" s="167">
        <v>17300000</v>
      </c>
      <c r="C66" s="167">
        <v>14100000</v>
      </c>
      <c r="D66" s="215">
        <f t="shared" ref="D66:D79" si="34">(B66/505000000)*100</f>
        <v>3.4257425742574261</v>
      </c>
      <c r="E66" s="215">
        <f t="shared" si="29"/>
        <v>2.7920792079207923</v>
      </c>
      <c r="P66" s="169" t="s">
        <v>977</v>
      </c>
      <c r="Q66" s="215">
        <f t="shared" si="30"/>
        <v>3.4284581847007529</v>
      </c>
      <c r="R66" s="215">
        <f t="shared" si="31"/>
        <v>2.7942925089179549</v>
      </c>
      <c r="S66" s="259" t="s">
        <v>1093</v>
      </c>
      <c r="T66" s="259">
        <f>(Q68)</f>
        <v>1.7063020214030916E-2</v>
      </c>
      <c r="U66" s="259">
        <f>(R68)</f>
        <v>1.7063020214030916E-2</v>
      </c>
      <c r="V66" s="148"/>
      <c r="AI66" s="150" t="s">
        <v>658</v>
      </c>
      <c r="AJ66" s="151">
        <v>67900000</v>
      </c>
      <c r="AK66" s="151">
        <v>239000000</v>
      </c>
      <c r="AL66" s="151">
        <v>42200000</v>
      </c>
      <c r="AM66" s="151">
        <v>166000000</v>
      </c>
      <c r="AN66" s="151">
        <v>38500000</v>
      </c>
      <c r="AO66" s="151">
        <v>148000000</v>
      </c>
      <c r="AQ66" s="150" t="s">
        <v>658</v>
      </c>
      <c r="AR66" s="151">
        <v>307000000</v>
      </c>
      <c r="AS66" s="151">
        <v>209000000</v>
      </c>
      <c r="AT66" s="167">
        <f t="shared" si="32"/>
        <v>186500000</v>
      </c>
      <c r="AU66" s="150" t="s">
        <v>658</v>
      </c>
      <c r="AV66" s="207">
        <f t="shared" si="33"/>
        <v>41.768707482993193</v>
      </c>
      <c r="AW66" s="207">
        <f t="shared" si="28"/>
        <v>28.435374149659864</v>
      </c>
      <c r="AX66" s="170">
        <f t="shared" si="28"/>
        <v>25.374149659863949</v>
      </c>
    </row>
    <row r="67" spans="1:58" ht="30.75" customHeight="1">
      <c r="A67" s="169" t="s">
        <v>1253</v>
      </c>
      <c r="B67" s="167">
        <v>1</v>
      </c>
      <c r="C67" s="167">
        <v>1250000</v>
      </c>
      <c r="D67" s="215">
        <f t="shared" si="34"/>
        <v>1.98019801980198E-7</v>
      </c>
      <c r="E67" s="215">
        <f t="shared" si="29"/>
        <v>0.24752475247524752</v>
      </c>
      <c r="P67" s="169" t="s">
        <v>976</v>
      </c>
      <c r="Q67" s="215">
        <f t="shared" si="30"/>
        <v>1.9817677368212446E-7</v>
      </c>
      <c r="R67" s="215">
        <f t="shared" si="31"/>
        <v>0.24772096710265556</v>
      </c>
      <c r="S67" s="259" t="s">
        <v>1094</v>
      </c>
      <c r="T67" s="259">
        <f>(Q69+Q70)</f>
        <v>5.5886048355132778E-2</v>
      </c>
      <c r="U67" s="259">
        <f>(R69+R70)</f>
        <v>4.9425287356321838E-2</v>
      </c>
      <c r="V67" s="148"/>
      <c r="AI67" s="150" t="s">
        <v>1189</v>
      </c>
      <c r="AJ67" s="151">
        <v>10800000</v>
      </c>
      <c r="AK67" s="151">
        <v>64100000</v>
      </c>
      <c r="AL67" s="151">
        <v>6160000</v>
      </c>
      <c r="AM67" s="151">
        <v>42800000</v>
      </c>
      <c r="AN67" s="151">
        <v>5620000</v>
      </c>
      <c r="AO67" s="151">
        <v>37900000</v>
      </c>
      <c r="AQ67" s="150" t="s">
        <v>1189</v>
      </c>
      <c r="AR67" s="151">
        <v>74900000</v>
      </c>
      <c r="AS67" s="151">
        <v>48900000</v>
      </c>
      <c r="AT67" s="167">
        <f t="shared" si="32"/>
        <v>43520000</v>
      </c>
      <c r="AU67" s="150" t="s">
        <v>1189</v>
      </c>
      <c r="AV67" s="207">
        <f t="shared" si="33"/>
        <v>10.19047619047619</v>
      </c>
      <c r="AW67" s="207">
        <f t="shared" si="28"/>
        <v>6.6530612244897966</v>
      </c>
      <c r="AX67" s="170">
        <f t="shared" si="28"/>
        <v>5.9210884353741502</v>
      </c>
    </row>
    <row r="68" spans="1:58" ht="25.5">
      <c r="A68" s="169" t="s">
        <v>879</v>
      </c>
      <c r="B68" s="167">
        <v>86100</v>
      </c>
      <c r="C68" s="167">
        <v>86100</v>
      </c>
      <c r="D68" s="215">
        <f t="shared" si="34"/>
        <v>1.7049504950495047E-2</v>
      </c>
      <c r="E68" s="215">
        <f t="shared" si="29"/>
        <v>1.7049504950495047E-2</v>
      </c>
      <c r="P68" s="169" t="s">
        <v>1084</v>
      </c>
      <c r="Q68" s="215">
        <f t="shared" si="30"/>
        <v>1.7063020214030916E-2</v>
      </c>
      <c r="R68" s="215">
        <f t="shared" si="31"/>
        <v>1.7063020214030916E-2</v>
      </c>
      <c r="S68" s="259" t="s">
        <v>1066</v>
      </c>
      <c r="T68" s="259">
        <f>(Q71)</f>
        <v>7.8279825604439159E-3</v>
      </c>
      <c r="U68" s="259">
        <f>(R71)</f>
        <v>7.8279825604439159E-3</v>
      </c>
      <c r="V68" s="148"/>
      <c r="AI68" s="150" t="s">
        <v>107</v>
      </c>
      <c r="AJ68" s="151">
        <v>88500</v>
      </c>
      <c r="AK68" s="151">
        <v>1290000</v>
      </c>
      <c r="AL68" s="151">
        <v>51100</v>
      </c>
      <c r="AM68" s="151">
        <v>888000</v>
      </c>
      <c r="AN68" s="151">
        <v>46600</v>
      </c>
      <c r="AO68" s="151">
        <v>790000</v>
      </c>
      <c r="AQ68" s="150" t="s">
        <v>107</v>
      </c>
      <c r="AR68" s="151">
        <v>1370000</v>
      </c>
      <c r="AS68" s="151">
        <v>939000</v>
      </c>
      <c r="AT68" s="167">
        <f t="shared" si="32"/>
        <v>836600</v>
      </c>
      <c r="AU68" s="150" t="s">
        <v>107</v>
      </c>
      <c r="AV68" s="207">
        <f t="shared" si="33"/>
        <v>0.18639455782312925</v>
      </c>
      <c r="AW68" s="207">
        <f t="shared" si="28"/>
        <v>0.12775510204081633</v>
      </c>
      <c r="AX68" s="170">
        <f t="shared" si="28"/>
        <v>0.11382312925170068</v>
      </c>
    </row>
    <row r="69" spans="1:58" ht="25.5">
      <c r="A69" s="169" t="s">
        <v>880</v>
      </c>
      <c r="B69" s="167">
        <v>282000</v>
      </c>
      <c r="C69" s="167">
        <v>229000</v>
      </c>
      <c r="D69" s="215">
        <f t="shared" si="34"/>
        <v>5.5841584158415843E-2</v>
      </c>
      <c r="E69" s="215">
        <f t="shared" si="29"/>
        <v>4.5346534653465345E-2</v>
      </c>
      <c r="P69" s="169" t="s">
        <v>1085</v>
      </c>
      <c r="Q69" s="215">
        <f t="shared" si="30"/>
        <v>5.5885850178359099E-2</v>
      </c>
      <c r="R69" s="215">
        <f t="shared" si="31"/>
        <v>4.53824811732065E-2</v>
      </c>
      <c r="S69" s="259" t="s">
        <v>1095</v>
      </c>
      <c r="T69" s="259">
        <f>(Q72+Q73)</f>
        <v>5.9710661910424095E-2</v>
      </c>
      <c r="U69" s="259">
        <f>(R72+R73)</f>
        <v>5.9710661910424095E-2</v>
      </c>
      <c r="V69" s="148"/>
      <c r="AI69" s="150" t="s">
        <v>1187</v>
      </c>
      <c r="AJ69" s="151">
        <v>2760</v>
      </c>
      <c r="AK69" s="151">
        <v>39100</v>
      </c>
      <c r="AL69" s="151">
        <v>1600</v>
      </c>
      <c r="AM69" s="151">
        <v>29700</v>
      </c>
      <c r="AN69" s="151">
        <v>1460</v>
      </c>
      <c r="AO69" s="151">
        <v>26800</v>
      </c>
      <c r="AQ69" s="150" t="s">
        <v>1187</v>
      </c>
      <c r="AR69" s="151">
        <v>41900</v>
      </c>
      <c r="AS69" s="151">
        <v>31300</v>
      </c>
      <c r="AT69" s="167">
        <f t="shared" si="32"/>
        <v>28260</v>
      </c>
      <c r="AU69" s="150" t="s">
        <v>1187</v>
      </c>
      <c r="AV69" s="207">
        <f t="shared" si="33"/>
        <v>5.7006802721088438E-3</v>
      </c>
      <c r="AW69" s="207">
        <f t="shared" si="28"/>
        <v>4.258503401360544E-3</v>
      </c>
      <c r="AX69" s="170">
        <f t="shared" si="28"/>
        <v>3.8448979591836734E-3</v>
      </c>
    </row>
    <row r="70" spans="1:58" ht="21" customHeight="1">
      <c r="A70" s="169" t="s">
        <v>1117</v>
      </c>
      <c r="B70" s="167">
        <v>1</v>
      </c>
      <c r="C70" s="167">
        <v>20400</v>
      </c>
      <c r="D70" s="215">
        <f t="shared" si="34"/>
        <v>1.98019801980198E-7</v>
      </c>
      <c r="E70" s="215">
        <f t="shared" si="29"/>
        <v>4.0396039603960397E-3</v>
      </c>
      <c r="P70" s="169" t="s">
        <v>973</v>
      </c>
      <c r="Q70" s="215">
        <f t="shared" si="30"/>
        <v>1.9817677368212446E-7</v>
      </c>
      <c r="R70" s="215">
        <f t="shared" si="31"/>
        <v>4.0428061831153392E-3</v>
      </c>
      <c r="S70" s="259" t="s">
        <v>1068</v>
      </c>
      <c r="T70" s="259">
        <f>(Q77)</f>
        <v>1.9817677368212446E-7</v>
      </c>
      <c r="U70" s="215">
        <f>(F70/$B$26)*100</f>
        <v>0</v>
      </c>
      <c r="V70" s="148"/>
      <c r="AI70" s="150" t="s">
        <v>1234</v>
      </c>
      <c r="AJ70" s="151">
        <v>17500000</v>
      </c>
      <c r="AK70" s="151">
        <v>23900000</v>
      </c>
      <c r="AL70" s="151">
        <v>13600000</v>
      </c>
      <c r="AM70" s="151">
        <v>16200000</v>
      </c>
      <c r="AN70" s="151">
        <v>12300000</v>
      </c>
      <c r="AO70" s="151">
        <v>14300000</v>
      </c>
      <c r="AQ70" s="150" t="s">
        <v>1234</v>
      </c>
      <c r="AR70" s="151">
        <v>41400000</v>
      </c>
      <c r="AS70" s="151">
        <v>29700000</v>
      </c>
      <c r="AT70" s="167">
        <f t="shared" si="32"/>
        <v>26600000</v>
      </c>
      <c r="AU70" s="150" t="s">
        <v>1234</v>
      </c>
      <c r="AV70" s="207">
        <f t="shared" si="33"/>
        <v>5.6326530612244898</v>
      </c>
      <c r="AW70" s="207">
        <f t="shared" si="28"/>
        <v>4.0408163265306118</v>
      </c>
      <c r="AX70" s="170">
        <f t="shared" si="28"/>
        <v>3.6190476190476191</v>
      </c>
    </row>
    <row r="71" spans="1:58" ht="29.25" customHeight="1">
      <c r="A71" s="169" t="s">
        <v>881</v>
      </c>
      <c r="B71" s="167">
        <v>39500</v>
      </c>
      <c r="C71" s="167">
        <v>39500</v>
      </c>
      <c r="D71" s="215">
        <f t="shared" si="34"/>
        <v>7.8217821782178218E-3</v>
      </c>
      <c r="E71" s="215">
        <f t="shared" si="29"/>
        <v>7.8217821782178218E-3</v>
      </c>
      <c r="P71" s="169" t="s">
        <v>881</v>
      </c>
      <c r="Q71" s="215">
        <f t="shared" si="30"/>
        <v>7.8279825604439159E-3</v>
      </c>
      <c r="R71" s="215">
        <f t="shared" si="31"/>
        <v>7.8279825604439159E-3</v>
      </c>
      <c r="S71" s="259" t="s">
        <v>1096</v>
      </c>
      <c r="T71" s="259">
        <f>(Q78+Q79)</f>
        <v>0.77288961553705904</v>
      </c>
      <c r="U71" s="259">
        <f>(R78+R79)</f>
        <v>0.77288961553705904</v>
      </c>
      <c r="V71" s="148"/>
      <c r="AI71" s="150" t="s">
        <v>1124</v>
      </c>
      <c r="AJ71" s="151">
        <v>1130000</v>
      </c>
      <c r="AK71" s="151">
        <v>8410000</v>
      </c>
      <c r="AL71" s="151">
        <v>666000</v>
      </c>
      <c r="AM71" s="151">
        <v>5820000</v>
      </c>
      <c r="AN71" s="151">
        <v>607000</v>
      </c>
      <c r="AO71" s="151">
        <v>5180000</v>
      </c>
      <c r="AQ71" s="150" t="s">
        <v>1124</v>
      </c>
      <c r="AR71" s="151">
        <v>9540000</v>
      </c>
      <c r="AS71" s="151">
        <v>6480000</v>
      </c>
      <c r="AT71" s="167">
        <f t="shared" si="32"/>
        <v>5787000</v>
      </c>
      <c r="AU71" s="150" t="s">
        <v>1124</v>
      </c>
      <c r="AV71" s="207">
        <f t="shared" si="33"/>
        <v>1.2979591836734694</v>
      </c>
      <c r="AW71" s="207">
        <f t="shared" si="28"/>
        <v>0.8816326530612244</v>
      </c>
      <c r="AX71" s="170">
        <f t="shared" si="28"/>
        <v>0.78734693877551021</v>
      </c>
    </row>
    <row r="72" spans="1:58" ht="21" customHeight="1">
      <c r="A72" s="169" t="s">
        <v>882</v>
      </c>
      <c r="B72" s="167">
        <v>245000</v>
      </c>
      <c r="C72" s="167">
        <v>245000</v>
      </c>
      <c r="D72" s="215">
        <f t="shared" si="34"/>
        <v>4.8514851485148516E-2</v>
      </c>
      <c r="E72" s="215">
        <f t="shared" si="29"/>
        <v>4.8514851485148516E-2</v>
      </c>
      <c r="P72" s="169" t="s">
        <v>882</v>
      </c>
      <c r="Q72" s="215">
        <f t="shared" si="30"/>
        <v>4.8553309552120491E-2</v>
      </c>
      <c r="R72" s="215">
        <f t="shared" si="31"/>
        <v>4.8553309552120491E-2</v>
      </c>
      <c r="S72" s="259" t="s">
        <v>1212</v>
      </c>
      <c r="T72" s="259">
        <f>(Q74)</f>
        <v>0.43797066983749505</v>
      </c>
      <c r="U72" s="259">
        <f>(R74)</f>
        <v>0.43797066983749505</v>
      </c>
      <c r="V72" s="148"/>
      <c r="AI72" s="150" t="s">
        <v>1125</v>
      </c>
      <c r="AJ72" s="151">
        <v>1280000</v>
      </c>
      <c r="AK72" s="151">
        <v>8690000</v>
      </c>
      <c r="AL72" s="151">
        <v>740000</v>
      </c>
      <c r="AM72" s="151">
        <v>5340000</v>
      </c>
      <c r="AN72" s="151">
        <v>674000</v>
      </c>
      <c r="AO72" s="151">
        <v>5570000</v>
      </c>
      <c r="AQ72" s="150" t="s">
        <v>1125</v>
      </c>
      <c r="AR72" s="151">
        <v>9970000</v>
      </c>
      <c r="AS72" s="151">
        <v>6080000</v>
      </c>
      <c r="AT72" s="167">
        <f t="shared" si="32"/>
        <v>6244000</v>
      </c>
      <c r="AU72" s="150" t="s">
        <v>1125</v>
      </c>
      <c r="AV72" s="207">
        <f t="shared" si="33"/>
        <v>1.3564625850340135</v>
      </c>
      <c r="AW72" s="207">
        <f t="shared" si="28"/>
        <v>0.82721088435374157</v>
      </c>
      <c r="AX72" s="170">
        <f t="shared" si="28"/>
        <v>0.84952380952380957</v>
      </c>
    </row>
    <row r="73" spans="1:58" ht="18.75" customHeight="1">
      <c r="A73" s="169" t="s">
        <v>883</v>
      </c>
      <c r="B73" s="167">
        <v>56300</v>
      </c>
      <c r="C73" s="167">
        <v>56300</v>
      </c>
      <c r="D73" s="215">
        <f t="shared" si="34"/>
        <v>1.1148514851485148E-2</v>
      </c>
      <c r="E73" s="215">
        <f t="shared" si="29"/>
        <v>1.1148514851485148E-2</v>
      </c>
      <c r="P73" s="169" t="s">
        <v>883</v>
      </c>
      <c r="Q73" s="215">
        <f t="shared" si="30"/>
        <v>1.1157352358303606E-2</v>
      </c>
      <c r="R73" s="215">
        <f t="shared" si="31"/>
        <v>1.1157352358303606E-2</v>
      </c>
      <c r="S73" s="259" t="s">
        <v>1213</v>
      </c>
      <c r="T73" s="259">
        <f>(Q75+Q76)</f>
        <v>1.8351169242964724</v>
      </c>
      <c r="U73" s="259">
        <f>(R75+R76)</f>
        <v>1.4962348394768132</v>
      </c>
      <c r="V73" s="148"/>
      <c r="AI73" s="150" t="s">
        <v>1237</v>
      </c>
      <c r="AJ73" s="151">
        <v>23000000</v>
      </c>
      <c r="AK73" s="151">
        <v>35800000</v>
      </c>
      <c r="AL73" s="151">
        <v>17600000</v>
      </c>
      <c r="AM73" s="151">
        <v>24000000</v>
      </c>
      <c r="AN73" s="151">
        <v>16000000</v>
      </c>
      <c r="AO73" s="151">
        <v>21300000</v>
      </c>
      <c r="AQ73" s="150" t="s">
        <v>1237</v>
      </c>
      <c r="AR73" s="151">
        <v>58900000</v>
      </c>
      <c r="AS73" s="151">
        <v>41600000</v>
      </c>
      <c r="AT73" s="167">
        <f t="shared" si="32"/>
        <v>37300000</v>
      </c>
      <c r="AU73" s="150" t="s">
        <v>1237</v>
      </c>
      <c r="AV73" s="207">
        <f t="shared" si="33"/>
        <v>8.0136054421768694</v>
      </c>
      <c r="AW73" s="207">
        <f t="shared" si="28"/>
        <v>5.6598639455782314</v>
      </c>
      <c r="AX73" s="170">
        <f t="shared" si="28"/>
        <v>5.074829931972789</v>
      </c>
    </row>
    <row r="74" spans="1:58" ht="18.75" customHeight="1">
      <c r="A74" s="169" t="s">
        <v>884</v>
      </c>
      <c r="B74" s="167">
        <v>2210000</v>
      </c>
      <c r="C74" s="167">
        <v>2210000</v>
      </c>
      <c r="D74" s="215">
        <f t="shared" si="34"/>
        <v>0.43762376237623768</v>
      </c>
      <c r="E74" s="215">
        <f t="shared" si="29"/>
        <v>0.43762376237623768</v>
      </c>
      <c r="P74" s="169" t="s">
        <v>1087</v>
      </c>
      <c r="Q74" s="215">
        <f t="shared" si="30"/>
        <v>0.43797066983749505</v>
      </c>
      <c r="R74" s="215">
        <f t="shared" si="31"/>
        <v>0.43797066983749505</v>
      </c>
      <c r="S74" s="264" t="s">
        <v>1214</v>
      </c>
      <c r="T74" s="254">
        <v>0.4</v>
      </c>
      <c r="U74" s="254">
        <v>0.4</v>
      </c>
      <c r="V74" s="148"/>
      <c r="AI74" s="150" t="s">
        <v>1238</v>
      </c>
      <c r="AJ74" s="151">
        <v>23800000</v>
      </c>
      <c r="AK74" s="151">
        <v>167000000</v>
      </c>
      <c r="AL74" s="151">
        <v>13900000</v>
      </c>
      <c r="AM74" s="151">
        <v>120000000</v>
      </c>
      <c r="AN74" s="151">
        <v>12700000</v>
      </c>
      <c r="AO74" s="151">
        <v>108000000</v>
      </c>
      <c r="AQ74" s="150" t="s">
        <v>1238</v>
      </c>
      <c r="AR74" s="151">
        <v>191000000</v>
      </c>
      <c r="AS74" s="151">
        <v>134000000</v>
      </c>
      <c r="AT74" s="167">
        <f t="shared" si="32"/>
        <v>120700000</v>
      </c>
      <c r="AU74" s="150" t="s">
        <v>1238</v>
      </c>
      <c r="AV74" s="207">
        <f t="shared" si="33"/>
        <v>25.986394557823129</v>
      </c>
      <c r="AW74" s="207">
        <f t="shared" si="28"/>
        <v>18.231292517006803</v>
      </c>
      <c r="AX74" s="170">
        <f t="shared" si="28"/>
        <v>16.421768707482993</v>
      </c>
    </row>
    <row r="75" spans="1:58" ht="18" customHeight="1">
      <c r="A75" s="169" t="s">
        <v>885</v>
      </c>
      <c r="B75" s="167">
        <v>7550000</v>
      </c>
      <c r="C75" s="167">
        <v>7550000</v>
      </c>
      <c r="D75" s="215">
        <f t="shared" si="34"/>
        <v>1.495049504950495</v>
      </c>
      <c r="E75" s="215">
        <f t="shared" si="29"/>
        <v>1.495049504950495</v>
      </c>
      <c r="P75" s="169" t="s">
        <v>1086</v>
      </c>
      <c r="Q75" s="215">
        <f t="shared" si="30"/>
        <v>1.4962346413000396</v>
      </c>
      <c r="R75" s="215">
        <f t="shared" si="31"/>
        <v>1.4962346413000396</v>
      </c>
      <c r="S75" s="174" t="s">
        <v>1215</v>
      </c>
      <c r="T75" s="174">
        <v>0.03</v>
      </c>
      <c r="U75" s="265">
        <v>0.03</v>
      </c>
      <c r="V75" s="148"/>
      <c r="AI75" s="142" t="s">
        <v>646</v>
      </c>
      <c r="AJ75" s="143">
        <f t="shared" ref="AJ75:AO75" si="35">SUM(AJ64:AJ74)</f>
        <v>149961660</v>
      </c>
      <c r="AK75" s="143">
        <f t="shared" si="35"/>
        <v>585757100</v>
      </c>
      <c r="AL75" s="143">
        <f t="shared" si="35"/>
        <v>97676400</v>
      </c>
      <c r="AM75" s="143">
        <f t="shared" si="35"/>
        <v>406434700</v>
      </c>
      <c r="AN75" s="143">
        <f t="shared" si="35"/>
        <v>88965160</v>
      </c>
      <c r="AO75" s="143">
        <f t="shared" si="35"/>
        <v>363505800</v>
      </c>
      <c r="AQ75" s="142" t="s">
        <v>646</v>
      </c>
      <c r="AR75" s="143">
        <f>SUM(AR64:AR74)</f>
        <v>736079900</v>
      </c>
      <c r="AS75" s="143">
        <f>SUM(AS64:AS74)</f>
        <v>504807300</v>
      </c>
      <c r="AT75" s="273">
        <f t="shared" si="32"/>
        <v>452470960</v>
      </c>
      <c r="AU75" s="142" t="s">
        <v>646</v>
      </c>
      <c r="AV75" s="207">
        <f t="shared" si="33"/>
        <v>100.14692517006803</v>
      </c>
      <c r="AW75" s="207">
        <f t="shared" si="28"/>
        <v>68.681265306122455</v>
      </c>
      <c r="AX75" s="170">
        <f t="shared" si="28"/>
        <v>61.560674829931969</v>
      </c>
    </row>
    <row r="76" spans="1:58" ht="25.5">
      <c r="A76" s="169" t="s">
        <v>886</v>
      </c>
      <c r="B76" s="167">
        <v>1710000</v>
      </c>
      <c r="C76" s="167">
        <v>1</v>
      </c>
      <c r="D76" s="215">
        <f t="shared" si="34"/>
        <v>0.33861386138613864</v>
      </c>
      <c r="E76" s="215">
        <f t="shared" si="29"/>
        <v>1.98019801980198E-7</v>
      </c>
      <c r="P76" s="169" t="s">
        <v>1088</v>
      </c>
      <c r="Q76" s="215">
        <f t="shared" si="30"/>
        <v>0.3388822829964328</v>
      </c>
      <c r="R76" s="215">
        <f t="shared" si="31"/>
        <v>1.9817677368212446E-7</v>
      </c>
      <c r="S76" s="259" t="s">
        <v>646</v>
      </c>
      <c r="T76" s="259">
        <f>SUM(T64:T75)</f>
        <v>9.8193985334918743</v>
      </c>
      <c r="U76" s="259">
        <f>SUM(U64:U75)</f>
        <v>8.9243127229488692</v>
      </c>
      <c r="V76" s="148"/>
      <c r="AI76" s="150" t="s">
        <v>52</v>
      </c>
      <c r="AJ76" s="151">
        <v>735000000</v>
      </c>
      <c r="AK76" s="151"/>
      <c r="AL76" s="151">
        <v>505000000</v>
      </c>
      <c r="AM76" s="44"/>
      <c r="AN76" s="167">
        <v>89000000</v>
      </c>
      <c r="AO76" s="167">
        <v>364000000</v>
      </c>
      <c r="AQ76" s="150" t="s">
        <v>52</v>
      </c>
      <c r="AR76" s="151">
        <v>735000000</v>
      </c>
      <c r="AS76" s="151">
        <v>505000000</v>
      </c>
      <c r="AT76" s="167">
        <v>452000000</v>
      </c>
      <c r="AU76" s="150" t="s">
        <v>52</v>
      </c>
      <c r="AV76" s="151">
        <v>735000000</v>
      </c>
      <c r="AW76" s="151">
        <v>505000000</v>
      </c>
      <c r="AX76" s="167">
        <v>452000000</v>
      </c>
    </row>
    <row r="77" spans="1:58" ht="38.25">
      <c r="A77" s="169" t="s">
        <v>1118</v>
      </c>
      <c r="B77" s="167">
        <v>1</v>
      </c>
      <c r="C77" s="167">
        <v>1</v>
      </c>
      <c r="D77" s="215">
        <f t="shared" si="34"/>
        <v>1.98019801980198E-7</v>
      </c>
      <c r="E77" s="215">
        <f t="shared" si="29"/>
        <v>1.98019801980198E-7</v>
      </c>
      <c r="P77" s="169" t="s">
        <v>1068</v>
      </c>
      <c r="Q77" s="215">
        <f t="shared" si="30"/>
        <v>1.9817677368212446E-7</v>
      </c>
      <c r="R77" s="215">
        <f t="shared" si="31"/>
        <v>1.9817677368212446E-7</v>
      </c>
      <c r="S77" s="259"/>
      <c r="T77" s="259"/>
      <c r="U77" s="148"/>
      <c r="V77" s="148"/>
    </row>
    <row r="78" spans="1:58" ht="38.25">
      <c r="A78" s="169" t="s">
        <v>761</v>
      </c>
      <c r="B78" s="167">
        <v>3900000</v>
      </c>
      <c r="C78" s="167">
        <v>3900000</v>
      </c>
      <c r="D78" s="215">
        <f t="shared" si="34"/>
        <v>0.7722772277227723</v>
      </c>
      <c r="E78" s="215">
        <f t="shared" si="29"/>
        <v>0.7722772277227723</v>
      </c>
      <c r="P78" s="169" t="s">
        <v>1171</v>
      </c>
      <c r="Q78" s="215">
        <f t="shared" si="30"/>
        <v>0.77288941736028538</v>
      </c>
      <c r="R78" s="215">
        <f t="shared" si="31"/>
        <v>0.77288941736028538</v>
      </c>
      <c r="S78" s="259"/>
      <c r="T78" s="259"/>
      <c r="U78" s="148"/>
      <c r="V78" s="148"/>
    </row>
    <row r="79" spans="1:58" ht="38.25">
      <c r="A79" s="169" t="s">
        <v>657</v>
      </c>
      <c r="B79" s="167">
        <v>1</v>
      </c>
      <c r="C79" s="167">
        <v>1</v>
      </c>
      <c r="D79" s="215">
        <f t="shared" si="34"/>
        <v>1.98019801980198E-7</v>
      </c>
      <c r="E79" s="215">
        <f t="shared" si="29"/>
        <v>1.98019801980198E-7</v>
      </c>
      <c r="P79" s="169" t="s">
        <v>1067</v>
      </c>
      <c r="Q79" s="215">
        <f t="shared" si="31"/>
        <v>1.9817677368212446E-7</v>
      </c>
      <c r="R79" s="215">
        <f t="shared" si="31"/>
        <v>1.9817677368212446E-7</v>
      </c>
      <c r="S79" s="259"/>
      <c r="T79" s="259"/>
      <c r="U79" s="148"/>
      <c r="V79" s="148"/>
    </row>
    <row r="80" spans="1:58" ht="15">
      <c r="BF80" s="55" t="s">
        <v>319</v>
      </c>
    </row>
    <row r="81" spans="1:23" ht="51">
      <c r="A81" s="44"/>
      <c r="B81" s="150" t="s">
        <v>980</v>
      </c>
      <c r="C81" s="150" t="s">
        <v>981</v>
      </c>
      <c r="D81" s="150" t="s">
        <v>1210</v>
      </c>
      <c r="E81" s="150" t="s">
        <v>1211</v>
      </c>
      <c r="G81" s="44"/>
      <c r="H81" s="150" t="s">
        <v>1089</v>
      </c>
      <c r="I81" s="150" t="s">
        <v>1090</v>
      </c>
      <c r="J81" s="133"/>
      <c r="K81" s="133"/>
      <c r="P81" s="44"/>
      <c r="Q81" s="150" t="s">
        <v>1152</v>
      </c>
      <c r="R81" s="150" t="s">
        <v>981</v>
      </c>
      <c r="S81" s="150" t="s">
        <v>1153</v>
      </c>
      <c r="T81" s="150" t="s">
        <v>1211</v>
      </c>
      <c r="U81" s="44"/>
      <c r="V81" s="150" t="s">
        <v>1089</v>
      </c>
      <c r="W81" s="150" t="s">
        <v>1090</v>
      </c>
    </row>
    <row r="82" spans="1:23">
      <c r="A82" s="200" t="s">
        <v>1191</v>
      </c>
      <c r="B82" s="151">
        <v>62800000</v>
      </c>
      <c r="C82" s="159">
        <v>54200000</v>
      </c>
      <c r="D82" s="159">
        <v>141000000</v>
      </c>
      <c r="E82" s="159">
        <v>128000000</v>
      </c>
      <c r="G82" s="200" t="s">
        <v>1191</v>
      </c>
      <c r="H82" s="151">
        <f t="shared" ref="H82:I85" si="36">(1*C30)</f>
        <v>10500000</v>
      </c>
      <c r="I82" s="151">
        <f t="shared" si="36"/>
        <v>702000</v>
      </c>
      <c r="J82" s="160"/>
      <c r="K82" s="160"/>
      <c r="P82" s="200" t="s">
        <v>1191</v>
      </c>
      <c r="Q82" s="170">
        <f>(B82/$B$27)*100</f>
        <v>12.435643564356436</v>
      </c>
      <c r="R82" s="170">
        <f>(C82/$B$27)*100</f>
        <v>10.732673267326733</v>
      </c>
      <c r="S82" s="170">
        <f>(D82/$B$27)*100</f>
        <v>27.920792079207924</v>
      </c>
      <c r="T82" s="170">
        <f>(E82/$B$27)*100</f>
        <v>25.346534653465348</v>
      </c>
      <c r="U82" s="200" t="s">
        <v>1191</v>
      </c>
      <c r="V82" s="170">
        <f>(H82/$B$26)*100</f>
        <v>2.0808561236623069</v>
      </c>
      <c r="W82" s="170">
        <f>(I82/$B$26)*100</f>
        <v>0.13912009512485138</v>
      </c>
    </row>
    <row r="83" spans="1:23" ht="15.75" customHeight="1">
      <c r="A83" s="200" t="s">
        <v>564</v>
      </c>
      <c r="B83" s="151">
        <v>17400000</v>
      </c>
      <c r="C83" s="159">
        <v>13500000</v>
      </c>
      <c r="D83" s="159">
        <v>115000000</v>
      </c>
      <c r="E83" s="159">
        <v>105000000</v>
      </c>
      <c r="G83" s="200" t="s">
        <v>564</v>
      </c>
      <c r="H83" s="151">
        <f t="shared" si="36"/>
        <v>5190000</v>
      </c>
      <c r="I83" s="151">
        <f t="shared" si="36"/>
        <v>348000</v>
      </c>
      <c r="J83" s="160"/>
      <c r="K83" s="160"/>
      <c r="P83" s="200" t="s">
        <v>564</v>
      </c>
      <c r="Q83" s="170">
        <f t="shared" ref="Q83:Q89" si="37">(B83/$B$27)*100</f>
        <v>3.4455445544554459</v>
      </c>
      <c r="R83" s="170">
        <f t="shared" ref="R83:R89" si="38">(C83/$B$27)*100</f>
        <v>2.6732673267326734</v>
      </c>
      <c r="S83" s="170">
        <f t="shared" ref="S83:S89" si="39">(D83/$B$27)*100</f>
        <v>22.772277227722775</v>
      </c>
      <c r="T83" s="170">
        <f t="shared" ref="T83:T89" si="40">(E83/$B$27)*100</f>
        <v>20.792079207920793</v>
      </c>
      <c r="U83" s="200" t="s">
        <v>564</v>
      </c>
      <c r="V83" s="170">
        <f t="shared" ref="V83:V89" si="41">(H83/$B$26)*100</f>
        <v>1.0285374554102258</v>
      </c>
      <c r="W83" s="170">
        <f t="shared" ref="W83:W89" si="42">(I83/$B$26)*100</f>
        <v>6.8965517241379309E-2</v>
      </c>
    </row>
    <row r="84" spans="1:23">
      <c r="A84" s="200" t="s">
        <v>123</v>
      </c>
      <c r="B84" s="151">
        <v>2420000</v>
      </c>
      <c r="C84" s="159">
        <v>518000</v>
      </c>
      <c r="D84" s="159">
        <v>3450000</v>
      </c>
      <c r="E84" s="159">
        <v>3140000</v>
      </c>
      <c r="G84" s="200" t="s">
        <v>123</v>
      </c>
      <c r="H84" s="151">
        <f t="shared" si="36"/>
        <v>2070000</v>
      </c>
      <c r="I84" s="151">
        <f t="shared" si="36"/>
        <v>139000</v>
      </c>
      <c r="J84" s="160"/>
      <c r="K84" s="160"/>
      <c r="P84" s="200" t="s">
        <v>123</v>
      </c>
      <c r="Q84" s="170">
        <f t="shared" si="37"/>
        <v>0.47920792079207919</v>
      </c>
      <c r="R84" s="170">
        <f t="shared" si="38"/>
        <v>0.10257425742574257</v>
      </c>
      <c r="S84" s="170">
        <f t="shared" si="39"/>
        <v>0.68316831683168322</v>
      </c>
      <c r="T84" s="170">
        <f t="shared" si="40"/>
        <v>0.62178217821782178</v>
      </c>
      <c r="U84" s="200" t="s">
        <v>123</v>
      </c>
      <c r="V84" s="170">
        <f t="shared" si="41"/>
        <v>0.41022592152199761</v>
      </c>
      <c r="W84" s="170">
        <f t="shared" si="42"/>
        <v>2.75465715418153E-2</v>
      </c>
    </row>
    <row r="85" spans="1:23">
      <c r="A85" s="200" t="s">
        <v>558</v>
      </c>
      <c r="B85" s="151">
        <v>845000</v>
      </c>
      <c r="C85" s="159">
        <v>606000</v>
      </c>
      <c r="D85" s="159">
        <v>1160000</v>
      </c>
      <c r="E85" s="159">
        <v>1060000</v>
      </c>
      <c r="G85" s="200" t="s">
        <v>558</v>
      </c>
      <c r="H85" s="151">
        <f t="shared" si="36"/>
        <v>265000</v>
      </c>
      <c r="I85" s="151">
        <f t="shared" si="36"/>
        <v>17800</v>
      </c>
      <c r="J85" s="160"/>
      <c r="K85" s="160"/>
      <c r="P85" s="200" t="s">
        <v>558</v>
      </c>
      <c r="Q85" s="170">
        <f t="shared" si="37"/>
        <v>0.16732673267326734</v>
      </c>
      <c r="R85" s="170">
        <f t="shared" si="38"/>
        <v>0.12</v>
      </c>
      <c r="S85" s="170">
        <f t="shared" si="39"/>
        <v>0.22970297029702968</v>
      </c>
      <c r="T85" s="170">
        <f t="shared" si="40"/>
        <v>0.20990099009900992</v>
      </c>
      <c r="U85" s="200" t="s">
        <v>558</v>
      </c>
      <c r="V85" s="170">
        <f t="shared" si="41"/>
        <v>5.2516845025762982E-2</v>
      </c>
      <c r="W85" s="170">
        <f t="shared" si="42"/>
        <v>3.5275465715418151E-3</v>
      </c>
    </row>
    <row r="86" spans="1:23">
      <c r="A86" s="200" t="s">
        <v>517</v>
      </c>
      <c r="B86" s="151">
        <v>25600000</v>
      </c>
      <c r="C86" s="159">
        <v>25800000</v>
      </c>
      <c r="D86" s="159">
        <v>21300000</v>
      </c>
      <c r="E86" s="159">
        <v>19400000</v>
      </c>
      <c r="G86" s="200" t="s">
        <v>517</v>
      </c>
      <c r="H86" s="151">
        <v>0</v>
      </c>
      <c r="I86" s="151">
        <v>0</v>
      </c>
      <c r="J86" s="160"/>
      <c r="K86" s="160"/>
      <c r="P86" s="200" t="s">
        <v>517</v>
      </c>
      <c r="Q86" s="170">
        <f t="shared" si="37"/>
        <v>5.0693069306930694</v>
      </c>
      <c r="R86" s="170">
        <f t="shared" si="38"/>
        <v>5.108910891089109</v>
      </c>
      <c r="S86" s="170">
        <f t="shared" si="39"/>
        <v>4.217821782178218</v>
      </c>
      <c r="T86" s="170">
        <f t="shared" si="40"/>
        <v>3.8415841584158414</v>
      </c>
      <c r="U86" s="200" t="s">
        <v>517</v>
      </c>
      <c r="V86" s="170">
        <f t="shared" si="41"/>
        <v>0</v>
      </c>
      <c r="W86" s="170">
        <f t="shared" si="42"/>
        <v>0</v>
      </c>
    </row>
    <row r="87" spans="1:23">
      <c r="A87" s="200" t="s">
        <v>894</v>
      </c>
      <c r="B87" s="151">
        <v>1490000</v>
      </c>
      <c r="C87" s="159">
        <v>1020000</v>
      </c>
      <c r="D87" s="159">
        <v>2360000</v>
      </c>
      <c r="E87" s="159">
        <v>2150000</v>
      </c>
      <c r="G87" s="200" t="s">
        <v>894</v>
      </c>
      <c r="H87" s="151">
        <f>(1*C34)</f>
        <v>523000</v>
      </c>
      <c r="I87" s="151">
        <f>(1*D34)</f>
        <v>35100</v>
      </c>
      <c r="J87" s="160"/>
      <c r="K87" s="160"/>
      <c r="P87" s="200" t="s">
        <v>894</v>
      </c>
      <c r="Q87" s="170">
        <f t="shared" si="37"/>
        <v>0.29504950495049503</v>
      </c>
      <c r="R87" s="170">
        <f t="shared" si="38"/>
        <v>0.20198019801980199</v>
      </c>
      <c r="S87" s="170">
        <f t="shared" si="39"/>
        <v>0.4673267326732673</v>
      </c>
      <c r="T87" s="170">
        <f t="shared" si="40"/>
        <v>0.42574257425742579</v>
      </c>
      <c r="U87" s="200" t="s">
        <v>894</v>
      </c>
      <c r="V87" s="170">
        <f t="shared" si="41"/>
        <v>0.10364645263575109</v>
      </c>
      <c r="W87" s="170">
        <f t="shared" si="42"/>
        <v>6.9560047562425686E-3</v>
      </c>
    </row>
    <row r="88" spans="1:23">
      <c r="A88" s="200" t="s">
        <v>901</v>
      </c>
      <c r="B88" s="151">
        <v>1140000</v>
      </c>
      <c r="C88" s="159">
        <v>1210000</v>
      </c>
      <c r="D88" s="159">
        <v>8920000</v>
      </c>
      <c r="E88" s="159">
        <v>8110000</v>
      </c>
      <c r="G88" s="200" t="s">
        <v>901</v>
      </c>
      <c r="H88" s="151">
        <v>0</v>
      </c>
      <c r="I88" s="151">
        <v>0</v>
      </c>
      <c r="J88" s="160"/>
      <c r="K88" s="160"/>
      <c r="P88" s="200" t="s">
        <v>901</v>
      </c>
      <c r="Q88" s="170">
        <f t="shared" si="37"/>
        <v>0.22574257425742572</v>
      </c>
      <c r="R88" s="170">
        <f t="shared" si="38"/>
        <v>0.23960396039603959</v>
      </c>
      <c r="S88" s="170">
        <f t="shared" si="39"/>
        <v>1.7663366336633661</v>
      </c>
      <c r="T88" s="170">
        <f t="shared" si="40"/>
        <v>1.605940594059406</v>
      </c>
      <c r="U88" s="200" t="s">
        <v>901</v>
      </c>
      <c r="V88" s="170">
        <f t="shared" si="41"/>
        <v>0</v>
      </c>
      <c r="W88" s="170">
        <f t="shared" si="42"/>
        <v>0</v>
      </c>
    </row>
    <row r="89" spans="1:23">
      <c r="A89" s="200" t="s">
        <v>895</v>
      </c>
      <c r="B89" s="151">
        <v>2120000</v>
      </c>
      <c r="C89" s="159">
        <v>193000</v>
      </c>
      <c r="D89" s="159">
        <v>138000</v>
      </c>
      <c r="E89" s="159">
        <v>126000</v>
      </c>
      <c r="G89" s="200" t="s">
        <v>895</v>
      </c>
      <c r="H89" s="151">
        <f>(1*C35)</f>
        <v>2070000</v>
      </c>
      <c r="I89" s="151">
        <f>(1*D35)</f>
        <v>139000</v>
      </c>
      <c r="J89" s="160"/>
      <c r="K89" s="160"/>
      <c r="P89" s="200" t="s">
        <v>895</v>
      </c>
      <c r="Q89" s="170">
        <f t="shared" si="37"/>
        <v>0.41980198019801984</v>
      </c>
      <c r="R89" s="170">
        <f t="shared" si="38"/>
        <v>3.8217821782178217E-2</v>
      </c>
      <c r="S89" s="170">
        <f t="shared" si="39"/>
        <v>2.7326732673267323E-2</v>
      </c>
      <c r="T89" s="170">
        <f t="shared" si="40"/>
        <v>2.4950495049504952E-2</v>
      </c>
      <c r="U89" s="200" t="s">
        <v>895</v>
      </c>
      <c r="V89" s="170">
        <f t="shared" si="41"/>
        <v>0.41022592152199761</v>
      </c>
      <c r="W89" s="170">
        <f t="shared" si="42"/>
        <v>2.75465715418153E-2</v>
      </c>
    </row>
    <row r="90" spans="1:23">
      <c r="A90" s="200" t="s">
        <v>646</v>
      </c>
      <c r="B90" s="159">
        <f>SUM(B82:B89)</f>
        <v>113815000</v>
      </c>
      <c r="C90" s="159">
        <f>SUM(C82:C89)</f>
        <v>97047000</v>
      </c>
      <c r="D90" s="159">
        <f>SUM(D82:D89)</f>
        <v>293328000</v>
      </c>
      <c r="E90" s="159">
        <f>SUM(E82:E89)</f>
        <v>266986000</v>
      </c>
      <c r="G90" s="200" t="s">
        <v>646</v>
      </c>
      <c r="H90" s="159">
        <f>SUM(H82:H89)</f>
        <v>20618000</v>
      </c>
      <c r="I90" s="159">
        <f>SUM(I82:I89)</f>
        <v>1380900</v>
      </c>
      <c r="J90" s="160"/>
      <c r="K90" s="160"/>
      <c r="P90" s="200" t="s">
        <v>646</v>
      </c>
      <c r="Q90" s="170">
        <f>SUM(Q82:Q89)</f>
        <v>22.537623762376235</v>
      </c>
      <c r="R90" s="170">
        <f>SUM(R82:R89)</f>
        <v>19.217227722772275</v>
      </c>
      <c r="S90" s="170">
        <f>SUM(S82:S89)</f>
        <v>58.084752475247519</v>
      </c>
      <c r="T90" s="170">
        <f>SUM(T82:T89)</f>
        <v>52.868514851485145</v>
      </c>
      <c r="U90" s="200" t="s">
        <v>646</v>
      </c>
      <c r="V90" s="170">
        <f>SUM(V82:V89)</f>
        <v>4.0860087197780421</v>
      </c>
      <c r="W90" s="170">
        <f>SUM(W82:W89)</f>
        <v>0.27366230677764564</v>
      </c>
    </row>
    <row r="92" spans="1:23" ht="15">
      <c r="A92" s="55" t="s">
        <v>310</v>
      </c>
      <c r="B92" s="198"/>
      <c r="C92" s="198"/>
      <c r="D92" s="198"/>
      <c r="E92" s="198"/>
    </row>
    <row r="93" spans="1:23" ht="38.25">
      <c r="A93" s="200" t="s">
        <v>893</v>
      </c>
      <c r="B93" s="148" t="s">
        <v>955</v>
      </c>
      <c r="C93" s="169" t="s">
        <v>834</v>
      </c>
      <c r="D93" s="169" t="s">
        <v>635</v>
      </c>
      <c r="E93" s="169"/>
      <c r="F93" s="169"/>
    </row>
    <row r="94" spans="1:23">
      <c r="A94" s="169" t="s">
        <v>1191</v>
      </c>
      <c r="B94" s="275">
        <f>(80500000+25000000)</f>
        <v>105500000</v>
      </c>
      <c r="C94" s="167">
        <f>(40300000+12000000)</f>
        <v>52300000</v>
      </c>
      <c r="D94" s="167">
        <f>(40300000+12000000)</f>
        <v>52300000</v>
      </c>
      <c r="E94" s="167"/>
      <c r="F94" s="202"/>
    </row>
    <row r="95" spans="1:23" ht="25.5">
      <c r="A95" s="169" t="s">
        <v>564</v>
      </c>
      <c r="B95" s="275">
        <f>(17700000+6970000)</f>
        <v>24670000</v>
      </c>
      <c r="C95" s="167">
        <f>(8860000+3360000)</f>
        <v>12220000</v>
      </c>
      <c r="D95" s="167">
        <f>(8860000+3360000)</f>
        <v>12220000</v>
      </c>
      <c r="E95" s="167"/>
      <c r="F95" s="202"/>
    </row>
    <row r="96" spans="1:23">
      <c r="A96" s="169" t="s">
        <v>123</v>
      </c>
      <c r="B96" s="275">
        <v>701000</v>
      </c>
      <c r="C96" s="167">
        <v>351000</v>
      </c>
      <c r="D96" s="167">
        <v>351000</v>
      </c>
      <c r="E96" s="167"/>
      <c r="F96" s="202"/>
    </row>
    <row r="97" spans="1:61" ht="76.5">
      <c r="A97" s="169" t="s">
        <v>558</v>
      </c>
      <c r="B97" s="275">
        <v>1150000</v>
      </c>
      <c r="C97" s="167">
        <v>578000</v>
      </c>
      <c r="D97" s="167">
        <v>578000</v>
      </c>
      <c r="E97" s="167"/>
      <c r="F97" s="202"/>
      <c r="AQ97" s="166"/>
      <c r="AR97" s="150" t="s">
        <v>634</v>
      </c>
      <c r="AS97" s="260" t="s">
        <v>1077</v>
      </c>
      <c r="AT97" s="260" t="s">
        <v>1078</v>
      </c>
      <c r="AU97" s="166"/>
      <c r="AV97" s="150" t="s">
        <v>1194</v>
      </c>
      <c r="AW97" s="150" t="s">
        <v>51</v>
      </c>
      <c r="AX97" s="150" t="s">
        <v>1179</v>
      </c>
      <c r="AZ97" s="166"/>
      <c r="BA97" s="150" t="s">
        <v>634</v>
      </c>
      <c r="BB97" s="260" t="s">
        <v>1081</v>
      </c>
      <c r="BC97" s="260" t="s">
        <v>1193</v>
      </c>
      <c r="BD97" s="166"/>
      <c r="BE97" s="150" t="s">
        <v>1105</v>
      </c>
      <c r="BF97" s="150" t="s">
        <v>299</v>
      </c>
      <c r="BG97" s="150" t="s">
        <v>913</v>
      </c>
      <c r="BH97" s="150" t="s">
        <v>914</v>
      </c>
      <c r="BI97" s="55" t="s">
        <v>307</v>
      </c>
    </row>
    <row r="98" spans="1:61" ht="25.5">
      <c r="A98" s="200" t="s">
        <v>517</v>
      </c>
      <c r="B98" s="275">
        <v>51100000</v>
      </c>
      <c r="C98" s="167">
        <v>25600000</v>
      </c>
      <c r="D98" s="167">
        <v>25600000</v>
      </c>
      <c r="E98" s="167"/>
      <c r="F98" s="202"/>
      <c r="AQ98" s="150" t="s">
        <v>868</v>
      </c>
      <c r="AR98" s="151">
        <v>74400000</v>
      </c>
      <c r="AS98" s="280">
        <v>55700000</v>
      </c>
      <c r="AT98" s="280">
        <v>55700000</v>
      </c>
      <c r="AU98" s="150" t="s">
        <v>868</v>
      </c>
      <c r="AV98" s="207">
        <f>(AR98/$AR$106)*100</f>
        <v>10.122448979591837</v>
      </c>
      <c r="AW98" s="207">
        <f>(AS98/$AR$106)*100</f>
        <v>7.5782312925170068</v>
      </c>
      <c r="AX98" s="207">
        <f>(AT98/$AR$106)*100</f>
        <v>7.5782312925170068</v>
      </c>
      <c r="AZ98" s="150" t="s">
        <v>868</v>
      </c>
      <c r="BA98" s="151">
        <v>74400000</v>
      </c>
      <c r="BB98" s="280">
        <v>55700000</v>
      </c>
      <c r="BC98" s="280">
        <v>55700000</v>
      </c>
      <c r="BD98" s="150" t="s">
        <v>868</v>
      </c>
      <c r="BE98" s="207">
        <f>(BA98/$AR$106)*100</f>
        <v>10.122448979591837</v>
      </c>
      <c r="BF98" s="207">
        <v>7.6</v>
      </c>
      <c r="BG98" s="207">
        <f t="shared" ref="BG98:BH105" si="43">(BB98/$AR$106)*100</f>
        <v>7.5782312925170068</v>
      </c>
      <c r="BH98" s="207">
        <f t="shared" si="43"/>
        <v>7.5782312925170068</v>
      </c>
    </row>
    <row r="99" spans="1:61" ht="25.5">
      <c r="A99" s="169" t="s">
        <v>894</v>
      </c>
      <c r="B99" s="275">
        <v>1930000</v>
      </c>
      <c r="C99" s="167">
        <v>968000</v>
      </c>
      <c r="D99" s="167">
        <v>968000</v>
      </c>
      <c r="E99" s="167"/>
      <c r="F99" s="202"/>
      <c r="AQ99" s="150" t="s">
        <v>869</v>
      </c>
      <c r="AR99" s="150">
        <v>0</v>
      </c>
      <c r="AS99" s="151">
        <v>73100</v>
      </c>
      <c r="AT99" s="151">
        <v>73100</v>
      </c>
      <c r="AU99" s="150" t="s">
        <v>869</v>
      </c>
      <c r="AV99" s="207">
        <f t="shared" ref="AV99:AW105" si="44">(AR99/$AR$106)*100</f>
        <v>0</v>
      </c>
      <c r="AW99" s="207">
        <f t="shared" si="44"/>
        <v>9.9455782312925164E-3</v>
      </c>
      <c r="AX99" s="207">
        <f t="shared" ref="AX99:AX105" si="45">(AT99/$AR$106)*100</f>
        <v>9.9455782312925164E-3</v>
      </c>
      <c r="AZ99" s="150" t="s">
        <v>869</v>
      </c>
      <c r="BA99" s="150">
        <v>0</v>
      </c>
      <c r="BB99" s="151">
        <v>73100</v>
      </c>
      <c r="BC99" s="151">
        <v>73100</v>
      </c>
      <c r="BD99" s="150" t="s">
        <v>869</v>
      </c>
      <c r="BE99" s="207">
        <f t="shared" ref="BE99:BE105" si="46">(BA99/$AR$106)*100</f>
        <v>0</v>
      </c>
      <c r="BF99" s="207">
        <v>0.1</v>
      </c>
      <c r="BG99" s="207">
        <f t="shared" si="43"/>
        <v>9.9455782312925164E-3</v>
      </c>
      <c r="BH99" s="207">
        <f t="shared" si="43"/>
        <v>9.9455782312925164E-3</v>
      </c>
    </row>
    <row r="100" spans="1:61" ht="25.5">
      <c r="A100" s="169" t="s">
        <v>895</v>
      </c>
      <c r="B100" s="275">
        <v>105000</v>
      </c>
      <c r="C100" s="167">
        <v>52700</v>
      </c>
      <c r="D100" s="167">
        <v>52700</v>
      </c>
      <c r="E100" s="167"/>
      <c r="F100" s="202"/>
      <c r="AQ100" s="276" t="s">
        <v>1017</v>
      </c>
      <c r="AR100" s="277">
        <v>75400000</v>
      </c>
      <c r="AS100" s="281">
        <v>2890000</v>
      </c>
      <c r="AT100" s="281">
        <v>2890000</v>
      </c>
      <c r="AU100" s="276" t="s">
        <v>870</v>
      </c>
      <c r="AV100" s="207">
        <f t="shared" si="44"/>
        <v>10.258503401360544</v>
      </c>
      <c r="AW100" s="207">
        <f t="shared" si="44"/>
        <v>0.39319727891156464</v>
      </c>
      <c r="AX100" s="207">
        <f t="shared" si="45"/>
        <v>0.39319727891156464</v>
      </c>
      <c r="AZ100" s="276" t="s">
        <v>1017</v>
      </c>
      <c r="BA100" s="277">
        <v>75400000</v>
      </c>
      <c r="BB100" s="281">
        <v>2890000</v>
      </c>
      <c r="BC100" s="281">
        <v>2890000</v>
      </c>
      <c r="BD100" s="276" t="s">
        <v>870</v>
      </c>
      <c r="BE100" s="207">
        <f t="shared" si="46"/>
        <v>10.258503401360544</v>
      </c>
      <c r="BF100" s="207">
        <v>4</v>
      </c>
      <c r="BG100" s="207">
        <f t="shared" si="43"/>
        <v>0.39319727891156464</v>
      </c>
      <c r="BH100" s="207">
        <f t="shared" si="43"/>
        <v>0.39319727891156464</v>
      </c>
    </row>
    <row r="101" spans="1:61" ht="25.5">
      <c r="A101" s="203" t="s">
        <v>646</v>
      </c>
      <c r="B101" s="204">
        <f>SUM(B94:B100)</f>
        <v>185156000</v>
      </c>
      <c r="C101" s="204">
        <f>SUM(C94:C100)</f>
        <v>92069700</v>
      </c>
      <c r="D101" s="204">
        <f>SUM(D94:D100)</f>
        <v>92069700</v>
      </c>
      <c r="E101" s="204"/>
      <c r="F101" s="199"/>
      <c r="AQ101" s="158" t="s">
        <v>1020</v>
      </c>
      <c r="AR101" s="166">
        <v>0</v>
      </c>
      <c r="AS101" s="286">
        <v>257000</v>
      </c>
      <c r="AT101" s="286">
        <v>257000</v>
      </c>
      <c r="AU101" s="158" t="s">
        <v>1018</v>
      </c>
      <c r="AV101" s="207">
        <f t="shared" si="44"/>
        <v>0</v>
      </c>
      <c r="AW101" s="207">
        <f t="shared" si="44"/>
        <v>3.4965986394557821E-2</v>
      </c>
      <c r="AX101" s="207">
        <f t="shared" si="45"/>
        <v>3.4965986394557821E-2</v>
      </c>
      <c r="AZ101" s="158" t="s">
        <v>1020</v>
      </c>
      <c r="BA101" s="166">
        <v>0</v>
      </c>
      <c r="BB101" s="286">
        <v>257000</v>
      </c>
      <c r="BC101" s="286">
        <v>257000</v>
      </c>
      <c r="BD101" s="158" t="s">
        <v>1018</v>
      </c>
      <c r="BE101" s="207">
        <f t="shared" si="46"/>
        <v>0</v>
      </c>
      <c r="BF101" s="207">
        <v>0.42</v>
      </c>
      <c r="BG101" s="207">
        <f t="shared" si="43"/>
        <v>3.4965986394557821E-2</v>
      </c>
      <c r="BH101" s="207">
        <f t="shared" si="43"/>
        <v>3.4965986394557821E-2</v>
      </c>
    </row>
    <row r="102" spans="1:61" ht="25.5">
      <c r="A102" s="169" t="s">
        <v>896</v>
      </c>
      <c r="C102" s="167">
        <v>20600000</v>
      </c>
      <c r="D102" s="167">
        <v>1380000</v>
      </c>
      <c r="E102" s="201"/>
      <c r="F102" s="201"/>
      <c r="AQ102" s="278" t="s">
        <v>770</v>
      </c>
      <c r="AR102" s="279">
        <v>42200000</v>
      </c>
      <c r="AS102" s="283">
        <v>752000</v>
      </c>
      <c r="AT102" s="151">
        <v>-14100000</v>
      </c>
      <c r="AU102" s="278" t="s">
        <v>770</v>
      </c>
      <c r="AV102" s="207">
        <f t="shared" si="44"/>
        <v>5.7414965986394551</v>
      </c>
      <c r="AW102" s="207">
        <f t="shared" si="44"/>
        <v>0.10231292517006803</v>
      </c>
      <c r="AX102" s="207">
        <f t="shared" si="45"/>
        <v>-1.9183673469387756</v>
      </c>
      <c r="AZ102" s="278" t="s">
        <v>770</v>
      </c>
      <c r="BA102" s="279">
        <v>42200000</v>
      </c>
      <c r="BB102" s="283">
        <v>752000</v>
      </c>
      <c r="BC102" s="151">
        <v>-14100000</v>
      </c>
      <c r="BD102" s="278" t="s">
        <v>770</v>
      </c>
      <c r="BE102" s="207">
        <f t="shared" si="46"/>
        <v>5.7414965986394551</v>
      </c>
      <c r="BF102" s="207">
        <v>0.2</v>
      </c>
      <c r="BG102" s="207">
        <f t="shared" si="43"/>
        <v>0.10231292517006803</v>
      </c>
      <c r="BH102" s="207">
        <f t="shared" si="43"/>
        <v>-1.9183673469387756</v>
      </c>
    </row>
    <row r="103" spans="1:61" ht="25.5">
      <c r="A103" s="217"/>
      <c r="C103" s="173"/>
      <c r="D103" s="173"/>
      <c r="E103" s="220"/>
      <c r="F103" s="220"/>
      <c r="AQ103" s="150" t="s">
        <v>1158</v>
      </c>
      <c r="AR103" s="151">
        <v>187000000</v>
      </c>
      <c r="AS103" s="280">
        <v>15000000</v>
      </c>
      <c r="AT103" s="151">
        <v>-37900000</v>
      </c>
      <c r="AU103" s="150" t="s">
        <v>1158</v>
      </c>
      <c r="AV103" s="207">
        <f t="shared" si="44"/>
        <v>25.442176870748302</v>
      </c>
      <c r="AW103" s="207">
        <f t="shared" si="44"/>
        <v>2.0408163265306123</v>
      </c>
      <c r="AX103" s="207">
        <f t="shared" si="45"/>
        <v>-5.1564625850340136</v>
      </c>
      <c r="AZ103" s="150" t="s">
        <v>1158</v>
      </c>
      <c r="BA103" s="151">
        <v>187000000</v>
      </c>
      <c r="BB103" s="280">
        <v>18000000</v>
      </c>
      <c r="BC103" s="151">
        <v>-34900000</v>
      </c>
      <c r="BD103" s="150" t="s">
        <v>1158</v>
      </c>
      <c r="BE103" s="207">
        <f t="shared" si="46"/>
        <v>25.442176870748302</v>
      </c>
      <c r="BF103" s="207">
        <v>12.7</v>
      </c>
      <c r="BG103" s="207">
        <f t="shared" si="43"/>
        <v>2.4489795918367347</v>
      </c>
      <c r="BH103" s="207">
        <f t="shared" si="43"/>
        <v>-4.7482993197278907</v>
      </c>
    </row>
    <row r="104" spans="1:61" ht="38.25">
      <c r="A104" s="317" t="s">
        <v>316</v>
      </c>
      <c r="B104" s="275">
        <v>736080000</v>
      </c>
      <c r="C104" s="173"/>
      <c r="D104" s="173"/>
      <c r="E104" s="220"/>
      <c r="F104" s="220"/>
      <c r="AQ104" s="150" t="s">
        <v>891</v>
      </c>
      <c r="AR104" s="151">
        <v>356000000</v>
      </c>
      <c r="AS104" s="280">
        <v>267000000</v>
      </c>
      <c r="AT104" s="151">
        <v>267000000</v>
      </c>
      <c r="AU104" s="150" t="s">
        <v>891</v>
      </c>
      <c r="AV104" s="207">
        <f t="shared" si="44"/>
        <v>48.435374149659864</v>
      </c>
      <c r="AW104" s="207">
        <f t="shared" si="44"/>
        <v>36.326530612244902</v>
      </c>
      <c r="AX104" s="207">
        <f t="shared" si="45"/>
        <v>36.326530612244902</v>
      </c>
      <c r="AZ104" s="150" t="s">
        <v>891</v>
      </c>
      <c r="BA104" s="151">
        <v>356000000</v>
      </c>
      <c r="BB104" s="280">
        <v>267000000</v>
      </c>
      <c r="BC104" s="151">
        <v>267000000</v>
      </c>
      <c r="BD104" s="150" t="s">
        <v>891</v>
      </c>
      <c r="BE104" s="207">
        <f t="shared" si="46"/>
        <v>48.435374149659864</v>
      </c>
      <c r="BF104" s="207">
        <f>(BB104/$AR$48)*100</f>
        <v>36.326530612244902</v>
      </c>
      <c r="BG104" s="207">
        <f t="shared" si="43"/>
        <v>36.326530612244902</v>
      </c>
      <c r="BH104" s="207">
        <f t="shared" si="43"/>
        <v>36.326530612244902</v>
      </c>
    </row>
    <row r="105" spans="1:61" ht="28.5">
      <c r="B105" s="47" t="s">
        <v>930</v>
      </c>
      <c r="C105" s="47" t="s">
        <v>1035</v>
      </c>
      <c r="D105" s="47" t="s">
        <v>1037</v>
      </c>
      <c r="F105" s="47" t="s">
        <v>1034</v>
      </c>
      <c r="G105" s="47" t="s">
        <v>1036</v>
      </c>
      <c r="H105" s="47" t="s">
        <v>1038</v>
      </c>
      <c r="J105" s="47" t="s">
        <v>1191</v>
      </c>
      <c r="K105" s="47" t="s">
        <v>921</v>
      </c>
      <c r="L105" s="47" t="s">
        <v>922</v>
      </c>
      <c r="M105" s="47" t="s">
        <v>923</v>
      </c>
      <c r="N105" s="47" t="s">
        <v>924</v>
      </c>
      <c r="O105" s="47" t="s">
        <v>925</v>
      </c>
      <c r="P105" s="47" t="s">
        <v>517</v>
      </c>
      <c r="Q105" s="47" t="s">
        <v>926</v>
      </c>
      <c r="AQ105" s="150" t="s">
        <v>1019</v>
      </c>
      <c r="AR105" s="150">
        <v>0</v>
      </c>
      <c r="AS105" s="151">
        <v>230000</v>
      </c>
      <c r="AT105" s="151">
        <v>230000</v>
      </c>
      <c r="AU105" s="150" t="s">
        <v>1019</v>
      </c>
      <c r="AV105" s="207">
        <f t="shared" si="44"/>
        <v>0</v>
      </c>
      <c r="AW105" s="207">
        <f t="shared" si="44"/>
        <v>3.1292517006802724E-2</v>
      </c>
      <c r="AX105" s="207">
        <f t="shared" si="45"/>
        <v>3.1292517006802724E-2</v>
      </c>
      <c r="AZ105" s="150" t="s">
        <v>1019</v>
      </c>
      <c r="BA105" s="150">
        <v>0</v>
      </c>
      <c r="BB105" s="151">
        <v>292000</v>
      </c>
      <c r="BC105" s="151">
        <v>230000</v>
      </c>
      <c r="BD105" s="150" t="s">
        <v>1019</v>
      </c>
      <c r="BE105" s="207">
        <f t="shared" si="46"/>
        <v>0</v>
      </c>
      <c r="BF105" s="207">
        <v>0.3</v>
      </c>
      <c r="BG105" s="207">
        <f t="shared" si="43"/>
        <v>3.9727891156462587E-2</v>
      </c>
      <c r="BH105" s="207">
        <f t="shared" si="43"/>
        <v>3.1292517006802724E-2</v>
      </c>
    </row>
    <row r="106" spans="1:61">
      <c r="A106" s="222" t="s">
        <v>836</v>
      </c>
      <c r="B106" s="275">
        <v>21500000</v>
      </c>
      <c r="C106" s="275">
        <v>10500000</v>
      </c>
      <c r="D106" s="275">
        <v>702000</v>
      </c>
      <c r="E106" s="222" t="s">
        <v>836</v>
      </c>
      <c r="F106" s="73">
        <f t="shared" ref="F106:F129" si="47">(B106/$B$104)*100</f>
        <v>2.9208781654168026</v>
      </c>
      <c r="G106" s="73">
        <f t="shared" ref="G106:G129" si="48">(C106/$B$104)*100</f>
        <v>1.4264753831105315</v>
      </c>
      <c r="H106" s="73">
        <f t="shared" ref="H106:H129" si="49">(D106/$B$104)*100</f>
        <v>9.5370068470818387E-2</v>
      </c>
      <c r="I106" t="s">
        <v>211</v>
      </c>
      <c r="J106" s="73">
        <f>(1*F106)</f>
        <v>2.9208781654168026</v>
      </c>
      <c r="K106" s="73">
        <f>(1*F109)</f>
        <v>1.4400608629496794</v>
      </c>
      <c r="L106" s="73">
        <f>(1*F112)</f>
        <v>0.57738289316378655</v>
      </c>
      <c r="M106" s="73">
        <f>(1*F115)</f>
        <v>7.3769155526573205E-2</v>
      </c>
      <c r="N106" s="73">
        <f>(1*F118)</f>
        <v>0</v>
      </c>
      <c r="O106" s="73">
        <f>(1*F121)</f>
        <v>0.14536463427888274</v>
      </c>
      <c r="P106" s="73">
        <f>(1*F124)</f>
        <v>0</v>
      </c>
      <c r="Q106" s="73">
        <f>(1*F127)</f>
        <v>0.57738289316378655</v>
      </c>
      <c r="AQ106" s="150" t="s">
        <v>646</v>
      </c>
      <c r="AR106" s="151">
        <f>SUM(AR98:AR105)</f>
        <v>735000000</v>
      </c>
      <c r="AS106" s="280">
        <f>SUM(AS98:AS105)</f>
        <v>341902100</v>
      </c>
      <c r="AT106" s="280">
        <f>SUM(AT98:AT105)</f>
        <v>274150100</v>
      </c>
      <c r="AU106" s="158" t="s">
        <v>646</v>
      </c>
      <c r="AV106" s="207">
        <f>(AR106/$AR$106)*100</f>
        <v>100</v>
      </c>
      <c r="AW106" s="207">
        <f>(AS106/$AR$106)*100-(AW105)</f>
        <v>46.485999999999997</v>
      </c>
      <c r="AX106" s="207">
        <f>(AT106/$AR$106)*100-(AX105)</f>
        <v>37.268040816326533</v>
      </c>
      <c r="AZ106" s="150" t="s">
        <v>646</v>
      </c>
      <c r="BA106" s="151">
        <f>SUM(BA98:BA105)</f>
        <v>735000000</v>
      </c>
      <c r="BB106" s="280">
        <f>SUM(BB98:BB105)</f>
        <v>344964100</v>
      </c>
      <c r="BC106" s="280">
        <f>SUM(BC98:BC105)</f>
        <v>277150100</v>
      </c>
      <c r="BD106" s="158" t="s">
        <v>646</v>
      </c>
      <c r="BE106" s="207">
        <f>(BA106/$AR$106)*100</f>
        <v>100</v>
      </c>
      <c r="BF106" s="284">
        <f>SUM(BF98:BF105)</f>
        <v>61.646530612244895</v>
      </c>
      <c r="BG106" s="207">
        <f>(BB106/$AR$106)*100-(BG105)</f>
        <v>46.894163265306126</v>
      </c>
      <c r="BH106" s="207">
        <f>(BC106/$AR$106)*100-(BH105)</f>
        <v>37.676204081632655</v>
      </c>
    </row>
    <row r="107" spans="1:61">
      <c r="A107" s="222" t="s">
        <v>787</v>
      </c>
      <c r="B107" s="275">
        <v>106000000</v>
      </c>
      <c r="C107" s="275">
        <v>52300000</v>
      </c>
      <c r="D107" s="275">
        <v>53500000</v>
      </c>
      <c r="E107" s="222" t="s">
        <v>787</v>
      </c>
      <c r="F107" s="73">
        <f t="shared" si="47"/>
        <v>14.400608629496794</v>
      </c>
      <c r="G107" s="73">
        <f t="shared" si="48"/>
        <v>7.1052059558743625</v>
      </c>
      <c r="H107" s="73">
        <f t="shared" si="49"/>
        <v>7.2682317139441368</v>
      </c>
      <c r="I107" t="s">
        <v>645</v>
      </c>
      <c r="J107" s="73">
        <f>(1*F107)</f>
        <v>14.400608629496794</v>
      </c>
      <c r="K107" s="73">
        <f>(1*F110)</f>
        <v>3.3556135202695363</v>
      </c>
      <c r="L107" s="73">
        <f>(1*F113)</f>
        <v>9.5234213672426904E-2</v>
      </c>
      <c r="M107" s="73">
        <f>(1*F116)</f>
        <v>0.15623301815020108</v>
      </c>
      <c r="N107" s="73">
        <f>(1*F119)</f>
        <v>0.30974894033257255</v>
      </c>
      <c r="O107" s="73">
        <f>(1*F122)</f>
        <v>0.26219976089555486</v>
      </c>
      <c r="P107" s="73">
        <f>(1*F125)</f>
        <v>6.9421801978045856</v>
      </c>
      <c r="Q107" s="73">
        <f>(1*F128)</f>
        <v>1.4264753831105315E-2</v>
      </c>
    </row>
    <row r="108" spans="1:61" ht="76.5">
      <c r="A108" s="222" t="s">
        <v>788</v>
      </c>
      <c r="B108" s="275">
        <v>171000000</v>
      </c>
      <c r="C108" s="275">
        <v>141000000</v>
      </c>
      <c r="D108" s="275">
        <v>128000000</v>
      </c>
      <c r="E108" s="222" t="s">
        <v>788</v>
      </c>
      <c r="F108" s="73">
        <f t="shared" si="47"/>
        <v>23.231170524942939</v>
      </c>
      <c r="G108" s="73">
        <f t="shared" si="48"/>
        <v>19.155526573198564</v>
      </c>
      <c r="H108" s="73">
        <f t="shared" si="49"/>
        <v>17.389414194109339</v>
      </c>
      <c r="I108" t="s">
        <v>644</v>
      </c>
      <c r="J108" s="73">
        <f>(1*F108)</f>
        <v>23.231170524942939</v>
      </c>
      <c r="K108" s="73">
        <f>(1*F111)</f>
        <v>19.019671774807087</v>
      </c>
      <c r="L108" s="73">
        <f>(1*F114)</f>
        <v>0.56923160526029781</v>
      </c>
      <c r="M108" s="73">
        <f>(1*F117)</f>
        <v>0.19155526573198567</v>
      </c>
      <c r="N108" s="73">
        <f>(1*F120)</f>
        <v>1.4672318226279752</v>
      </c>
      <c r="O108" s="73">
        <f>(1*F123)</f>
        <v>0.3899032713835453</v>
      </c>
      <c r="P108" s="73">
        <f>(1*F126)</f>
        <v>3.518639278339311</v>
      </c>
      <c r="Q108" s="73">
        <f>(1*F129)</f>
        <v>2.2823606129768505E-2</v>
      </c>
      <c r="AQ108" s="150" t="s">
        <v>430</v>
      </c>
      <c r="AR108" s="150" t="s">
        <v>634</v>
      </c>
      <c r="AS108" s="260" t="s">
        <v>1077</v>
      </c>
      <c r="AT108" s="260" t="s">
        <v>1078</v>
      </c>
      <c r="AU108" s="150" t="s">
        <v>430</v>
      </c>
      <c r="AV108" s="150" t="s">
        <v>1194</v>
      </c>
      <c r="AW108" s="150" t="s">
        <v>51</v>
      </c>
      <c r="AX108" s="150" t="s">
        <v>183</v>
      </c>
      <c r="AZ108" s="150" t="s">
        <v>430</v>
      </c>
      <c r="BA108" s="150" t="s">
        <v>634</v>
      </c>
      <c r="BB108" s="260" t="s">
        <v>1081</v>
      </c>
      <c r="BC108" s="260" t="s">
        <v>1193</v>
      </c>
      <c r="BD108" s="150" t="s">
        <v>430</v>
      </c>
      <c r="BE108" s="150" t="s">
        <v>1105</v>
      </c>
      <c r="BF108" s="163" t="s">
        <v>299</v>
      </c>
      <c r="BG108" s="150" t="s">
        <v>915</v>
      </c>
      <c r="BH108" s="150" t="s">
        <v>801</v>
      </c>
      <c r="BI108" s="55" t="s">
        <v>308</v>
      </c>
    </row>
    <row r="109" spans="1:61" ht="28.5">
      <c r="A109" s="222" t="s">
        <v>789</v>
      </c>
      <c r="B109" s="275">
        <v>10600000</v>
      </c>
      <c r="C109" s="275">
        <v>5190000</v>
      </c>
      <c r="D109" s="275">
        <v>348000</v>
      </c>
      <c r="E109" s="222" t="s">
        <v>789</v>
      </c>
      <c r="F109" s="73">
        <f t="shared" si="47"/>
        <v>1.4400608629496794</v>
      </c>
      <c r="G109" s="73">
        <f t="shared" si="48"/>
        <v>0.70508640365177699</v>
      </c>
      <c r="H109" s="73">
        <f t="shared" si="49"/>
        <v>4.7277469840234759E-2</v>
      </c>
      <c r="J109" s="47" t="s">
        <v>1191</v>
      </c>
      <c r="K109" s="47" t="s">
        <v>921</v>
      </c>
      <c r="L109" s="47" t="s">
        <v>922</v>
      </c>
      <c r="M109" s="47" t="s">
        <v>923</v>
      </c>
      <c r="N109" s="47" t="s">
        <v>924</v>
      </c>
      <c r="O109" s="47" t="s">
        <v>925</v>
      </c>
      <c r="P109" s="47" t="s">
        <v>517</v>
      </c>
      <c r="Q109" s="47" t="s">
        <v>926</v>
      </c>
      <c r="AQ109" s="150" t="s">
        <v>108</v>
      </c>
      <c r="AR109" s="151">
        <v>41700000</v>
      </c>
      <c r="AS109" s="151">
        <v>18100000</v>
      </c>
      <c r="AT109" s="167">
        <v>17100000</v>
      </c>
      <c r="AU109" s="150" t="s">
        <v>108</v>
      </c>
      <c r="AV109" s="207">
        <f>(AR109/$AR$121)*100</f>
        <v>5.6734693877551017</v>
      </c>
      <c r="AW109" s="207">
        <f t="shared" ref="AW109:AW119" si="50">(AS109/$AR$75)*100</f>
        <v>2.4589721849489434</v>
      </c>
      <c r="AX109" s="207">
        <f t="shared" ref="AX109:AX120" si="51">(AT109/$AR$75)*100</f>
        <v>2.3231173681009358</v>
      </c>
      <c r="AZ109" s="150" t="s">
        <v>108</v>
      </c>
      <c r="BA109" s="151">
        <v>41700000</v>
      </c>
      <c r="BB109" s="151">
        <v>18400000</v>
      </c>
      <c r="BC109" s="167">
        <v>17500000</v>
      </c>
      <c r="BD109" s="150" t="s">
        <v>108</v>
      </c>
      <c r="BE109" s="207">
        <f>(BA109/$AR$121)*100</f>
        <v>5.6734693877551017</v>
      </c>
      <c r="BF109" s="155">
        <v>3.37</v>
      </c>
      <c r="BG109" s="207">
        <f t="shared" ref="BG109:BG119" si="52">(BB109/$AR$75)*100</f>
        <v>2.4997286300033461</v>
      </c>
      <c r="BH109" s="207">
        <f t="shared" ref="BH109:BH119" si="53">(BC109/$AR$75)*100</f>
        <v>2.377459294840139</v>
      </c>
    </row>
    <row r="110" spans="1:61" ht="25.5">
      <c r="A110" s="222" t="s">
        <v>790</v>
      </c>
      <c r="B110" s="275">
        <v>24700000</v>
      </c>
      <c r="C110" s="275">
        <v>12200000</v>
      </c>
      <c r="D110" s="275">
        <v>13140000</v>
      </c>
      <c r="E110" s="222" t="s">
        <v>790</v>
      </c>
      <c r="F110" s="73">
        <f t="shared" si="47"/>
        <v>3.3556135202695363</v>
      </c>
      <c r="G110" s="73">
        <f t="shared" si="48"/>
        <v>1.657428540376046</v>
      </c>
      <c r="H110" s="73">
        <f t="shared" si="49"/>
        <v>1.7851320508640367</v>
      </c>
      <c r="I110" t="s">
        <v>986</v>
      </c>
      <c r="J110" s="73">
        <f>(1*H106)</f>
        <v>9.5370068470818387E-2</v>
      </c>
      <c r="K110" s="73">
        <f>(1*H109)</f>
        <v>4.7277469840234759E-2</v>
      </c>
      <c r="L110" s="73">
        <f>(1*H112)</f>
        <v>1.8883816976415606E-2</v>
      </c>
      <c r="M110" s="73">
        <f>(1*H115)</f>
        <v>2.4182154113683296E-3</v>
      </c>
      <c r="N110" s="73">
        <f>(1*H118)</f>
        <v>0</v>
      </c>
      <c r="O110" s="73">
        <f>(1*H121)</f>
        <v>4.7685034235409197E-3</v>
      </c>
      <c r="P110" s="73">
        <f>(1*H124)</f>
        <v>0</v>
      </c>
      <c r="Q110" s="73">
        <f>(1*H127)</f>
        <v>1.8883816976415606E-2</v>
      </c>
      <c r="AQ110" s="150" t="s">
        <v>109</v>
      </c>
      <c r="AR110" s="151">
        <v>258000</v>
      </c>
      <c r="AS110" s="151">
        <v>114000</v>
      </c>
      <c r="AT110" s="167">
        <v>99900</v>
      </c>
      <c r="AU110" s="150" t="s">
        <v>109</v>
      </c>
      <c r="AV110" s="207">
        <f t="shared" ref="AV110:AV120" si="54">(AR110/$AR$121)*100</f>
        <v>3.5102040816326528E-2</v>
      </c>
      <c r="AW110" s="207">
        <f t="shared" si="50"/>
        <v>1.5487449120672904E-2</v>
      </c>
      <c r="AX110" s="207">
        <f t="shared" si="51"/>
        <v>1.3571896203115993E-2</v>
      </c>
      <c r="AZ110" s="150" t="s">
        <v>109</v>
      </c>
      <c r="BA110" s="151">
        <v>258000</v>
      </c>
      <c r="BB110" s="151">
        <v>115000</v>
      </c>
      <c r="BC110" s="167">
        <v>101000</v>
      </c>
      <c r="BD110" s="150" t="s">
        <v>109</v>
      </c>
      <c r="BE110" s="207">
        <f t="shared" ref="BE110:BE120" si="55">(BA110/$AR$121)*100</f>
        <v>3.5102040816326528E-2</v>
      </c>
      <c r="BF110" s="155">
        <v>0.02</v>
      </c>
      <c r="BG110" s="207">
        <f t="shared" si="52"/>
        <v>1.5623303937520913E-2</v>
      </c>
      <c r="BH110" s="207">
        <f t="shared" si="53"/>
        <v>1.3721336501648803E-2</v>
      </c>
    </row>
    <row r="111" spans="1:61" ht="25.5">
      <c r="A111" s="222" t="s">
        <v>791</v>
      </c>
      <c r="B111" s="275">
        <v>140000000</v>
      </c>
      <c r="C111" s="275">
        <v>115000000</v>
      </c>
      <c r="D111" s="275">
        <v>105000000</v>
      </c>
      <c r="E111" s="222" t="s">
        <v>791</v>
      </c>
      <c r="F111" s="73">
        <f t="shared" si="47"/>
        <v>19.019671774807087</v>
      </c>
      <c r="G111" s="73">
        <f t="shared" si="48"/>
        <v>15.623301815020108</v>
      </c>
      <c r="H111" s="73">
        <f t="shared" si="49"/>
        <v>14.264753831105315</v>
      </c>
      <c r="I111" t="s">
        <v>987</v>
      </c>
      <c r="J111" s="73">
        <f>(1*H107)</f>
        <v>7.2682317139441368</v>
      </c>
      <c r="K111" s="73">
        <f>(1*H110)</f>
        <v>1.7851320508640367</v>
      </c>
      <c r="L111" s="73">
        <f>(1*H113)</f>
        <v>5.1488968590370617E-2</v>
      </c>
      <c r="M111" s="73">
        <f>(1*H116)</f>
        <v>7.9746766655798274E-2</v>
      </c>
      <c r="N111" s="73">
        <f>(1*H119)</f>
        <v>0.16438430605368981</v>
      </c>
      <c r="O111" s="73">
        <f>(1*H122)</f>
        <v>0.13408868601238996</v>
      </c>
      <c r="P111" s="73">
        <f>(1*H125)</f>
        <v>3.5050537985001631</v>
      </c>
      <c r="Q111" s="73">
        <f>(1*H128)</f>
        <v>7.30898815346158E-3</v>
      </c>
      <c r="AQ111" s="150" t="s">
        <v>658</v>
      </c>
      <c r="AR111" s="151">
        <v>307000000</v>
      </c>
      <c r="AS111" s="151">
        <v>139000000</v>
      </c>
      <c r="AT111" s="167">
        <v>88600000</v>
      </c>
      <c r="AU111" s="150" t="s">
        <v>658</v>
      </c>
      <c r="AV111" s="207">
        <f t="shared" si="54"/>
        <v>41.768707482993193</v>
      </c>
      <c r="AW111" s="207">
        <f t="shared" si="50"/>
        <v>18.883819541873102</v>
      </c>
      <c r="AX111" s="207">
        <f t="shared" si="51"/>
        <v>12.036736772733503</v>
      </c>
      <c r="AZ111" s="150" t="s">
        <v>658</v>
      </c>
      <c r="BA111" s="151">
        <v>307000000</v>
      </c>
      <c r="BB111" s="151">
        <v>140000000</v>
      </c>
      <c r="BC111" s="167">
        <v>90000000</v>
      </c>
      <c r="BD111" s="150" t="s">
        <v>658</v>
      </c>
      <c r="BE111" s="207">
        <f t="shared" si="55"/>
        <v>41.768707482993193</v>
      </c>
      <c r="BF111" s="155">
        <v>25.37</v>
      </c>
      <c r="BG111" s="207">
        <f t="shared" si="52"/>
        <v>19.019674358721112</v>
      </c>
      <c r="BH111" s="207">
        <f t="shared" si="53"/>
        <v>12.226933516320715</v>
      </c>
    </row>
    <row r="112" spans="1:61" ht="25.5">
      <c r="A112" s="222" t="s">
        <v>792</v>
      </c>
      <c r="B112" s="275">
        <v>4250000</v>
      </c>
      <c r="C112" s="275">
        <v>2070000</v>
      </c>
      <c r="D112" s="275">
        <v>139000</v>
      </c>
      <c r="E112" s="222" t="s">
        <v>792</v>
      </c>
      <c r="F112" s="73">
        <f t="shared" si="47"/>
        <v>0.57738289316378655</v>
      </c>
      <c r="G112" s="73">
        <f t="shared" si="48"/>
        <v>0.28121943267036192</v>
      </c>
      <c r="H112" s="73">
        <f t="shared" si="49"/>
        <v>1.8883816976415606E-2</v>
      </c>
      <c r="I112" t="s">
        <v>988</v>
      </c>
      <c r="J112" s="73">
        <f>(1*H108)</f>
        <v>17.389414194109339</v>
      </c>
      <c r="K112" s="73">
        <f>(1*H111)</f>
        <v>14.264753831105315</v>
      </c>
      <c r="L112" s="73">
        <f>(1*H114)</f>
        <v>0.42658406694924467</v>
      </c>
      <c r="M112" s="73">
        <f>(1*H117)</f>
        <v>0.14400608629496794</v>
      </c>
      <c r="N112" s="73">
        <f>(1*H120)</f>
        <v>1.1017824149548963</v>
      </c>
      <c r="O112" s="73">
        <f>(1*H123)</f>
        <v>0.29208781654168026</v>
      </c>
      <c r="P112" s="73">
        <f>(1*H126)</f>
        <v>2.6355830887946965</v>
      </c>
      <c r="Q112" s="73">
        <f>(1*H129)</f>
        <v>1.7117704597326377E-2</v>
      </c>
      <c r="AQ112" s="150" t="s">
        <v>1189</v>
      </c>
      <c r="AR112" s="151">
        <v>74900000</v>
      </c>
      <c r="AS112" s="151">
        <v>29500000</v>
      </c>
      <c r="AT112" s="167">
        <v>23200000</v>
      </c>
      <c r="AU112" s="150" t="s">
        <v>1189</v>
      </c>
      <c r="AV112" s="207">
        <f t="shared" si="54"/>
        <v>10.19047619047619</v>
      </c>
      <c r="AW112" s="207">
        <f t="shared" si="50"/>
        <v>4.0077170970162346</v>
      </c>
      <c r="AX112" s="207">
        <f t="shared" si="51"/>
        <v>3.1518317508737841</v>
      </c>
      <c r="AZ112" s="150" t="s">
        <v>1189</v>
      </c>
      <c r="BA112" s="151">
        <v>74900000</v>
      </c>
      <c r="BB112" s="151">
        <v>29700000</v>
      </c>
      <c r="BC112" s="167">
        <v>23400000</v>
      </c>
      <c r="BD112" s="150" t="s">
        <v>1189</v>
      </c>
      <c r="BE112" s="207">
        <f t="shared" si="55"/>
        <v>10.19047619047619</v>
      </c>
      <c r="BF112" s="155">
        <v>5.92</v>
      </c>
      <c r="BG112" s="207">
        <f t="shared" si="52"/>
        <v>4.0348880603858355</v>
      </c>
      <c r="BH112" s="207">
        <f t="shared" si="53"/>
        <v>3.1790027142433854</v>
      </c>
    </row>
    <row r="113" spans="1:64">
      <c r="A113" s="222" t="s">
        <v>793</v>
      </c>
      <c r="B113" s="275">
        <v>701000</v>
      </c>
      <c r="C113" s="275">
        <v>351000</v>
      </c>
      <c r="D113" s="275">
        <v>379000</v>
      </c>
      <c r="E113" s="222" t="s">
        <v>793</v>
      </c>
      <c r="F113" s="73">
        <f t="shared" si="47"/>
        <v>9.5234213672426904E-2</v>
      </c>
      <c r="G113" s="73">
        <f t="shared" si="48"/>
        <v>4.7685034235409193E-2</v>
      </c>
      <c r="H113" s="73">
        <f t="shared" si="49"/>
        <v>5.1488968590370617E-2</v>
      </c>
      <c r="AQ113" s="150" t="s">
        <v>107</v>
      </c>
      <c r="AR113" s="151">
        <v>1370000</v>
      </c>
      <c r="AS113" s="151">
        <v>624000</v>
      </c>
      <c r="AT113" s="167">
        <v>607000</v>
      </c>
      <c r="AU113" s="150" t="s">
        <v>107</v>
      </c>
      <c r="AV113" s="207">
        <f t="shared" si="54"/>
        <v>0.18639455782312925</v>
      </c>
      <c r="AW113" s="207">
        <f t="shared" si="50"/>
        <v>8.477340571315696E-2</v>
      </c>
      <c r="AX113" s="207">
        <f t="shared" si="51"/>
        <v>8.2463873826740822E-2</v>
      </c>
      <c r="AZ113" s="150" t="s">
        <v>107</v>
      </c>
      <c r="BA113" s="151">
        <v>1370000</v>
      </c>
      <c r="BB113" s="151">
        <v>624000</v>
      </c>
      <c r="BC113" s="167">
        <v>608000</v>
      </c>
      <c r="BD113" s="150" t="s">
        <v>107</v>
      </c>
      <c r="BE113" s="207">
        <f t="shared" si="55"/>
        <v>0.18639455782312925</v>
      </c>
      <c r="BF113" s="155">
        <v>0.11</v>
      </c>
      <c r="BG113" s="207">
        <f t="shared" si="52"/>
        <v>8.477340571315696E-2</v>
      </c>
      <c r="BH113" s="207">
        <f t="shared" si="53"/>
        <v>8.2599728643588832E-2</v>
      </c>
    </row>
    <row r="114" spans="1:64" ht="25.5">
      <c r="A114" s="222" t="s">
        <v>794</v>
      </c>
      <c r="B114" s="275">
        <v>4190000</v>
      </c>
      <c r="C114" s="275">
        <v>3450000</v>
      </c>
      <c r="D114" s="275">
        <v>3140000</v>
      </c>
      <c r="E114" s="222" t="s">
        <v>794</v>
      </c>
      <c r="F114" s="73">
        <f t="shared" si="47"/>
        <v>0.56923160526029781</v>
      </c>
      <c r="G114" s="73">
        <f t="shared" si="48"/>
        <v>0.46869905445060317</v>
      </c>
      <c r="H114" s="73">
        <f t="shared" si="49"/>
        <v>0.42658406694924467</v>
      </c>
      <c r="AQ114" s="150" t="s">
        <v>1187</v>
      </c>
      <c r="AR114" s="151">
        <v>41900</v>
      </c>
      <c r="AS114" s="151">
        <v>24800</v>
      </c>
      <c r="AT114" s="167">
        <v>24200</v>
      </c>
      <c r="AU114" s="150" t="s">
        <v>1187</v>
      </c>
      <c r="AV114" s="207">
        <f t="shared" si="54"/>
        <v>5.7006802721088438E-3</v>
      </c>
      <c r="AW114" s="207">
        <f t="shared" si="50"/>
        <v>3.369199457830597E-3</v>
      </c>
      <c r="AX114" s="207">
        <f t="shared" si="51"/>
        <v>3.2876865677217921E-3</v>
      </c>
      <c r="AZ114" s="150" t="s">
        <v>1187</v>
      </c>
      <c r="BA114" s="151">
        <v>41900</v>
      </c>
      <c r="BB114" s="151">
        <v>24900</v>
      </c>
      <c r="BC114" s="167">
        <v>24300</v>
      </c>
      <c r="BD114" s="150" t="s">
        <v>1187</v>
      </c>
      <c r="BE114" s="207">
        <f t="shared" si="55"/>
        <v>5.7006802721088438E-3</v>
      </c>
      <c r="BF114" s="155">
        <v>0</v>
      </c>
      <c r="BG114" s="207">
        <f t="shared" si="52"/>
        <v>3.3827849395153976E-3</v>
      </c>
      <c r="BH114" s="207">
        <f t="shared" si="53"/>
        <v>3.3012720494065926E-3</v>
      </c>
    </row>
    <row r="115" spans="1:64">
      <c r="A115" s="222" t="s">
        <v>795</v>
      </c>
      <c r="B115" s="275">
        <v>543000</v>
      </c>
      <c r="C115" s="275">
        <v>265000</v>
      </c>
      <c r="D115" s="275">
        <v>17800</v>
      </c>
      <c r="E115" s="222" t="s">
        <v>795</v>
      </c>
      <c r="F115" s="73">
        <f t="shared" si="47"/>
        <v>7.3769155526573205E-2</v>
      </c>
      <c r="G115" s="73">
        <f t="shared" si="48"/>
        <v>3.6001521573741986E-2</v>
      </c>
      <c r="H115" s="73">
        <f t="shared" si="49"/>
        <v>2.4182154113683296E-3</v>
      </c>
      <c r="AQ115" s="150" t="s">
        <v>1234</v>
      </c>
      <c r="AR115" s="151">
        <v>41400000</v>
      </c>
      <c r="AS115" s="151">
        <v>22000000</v>
      </c>
      <c r="AT115" s="167">
        <v>20700000</v>
      </c>
      <c r="AU115" s="150" t="s">
        <v>1234</v>
      </c>
      <c r="AV115" s="207">
        <f t="shared" si="54"/>
        <v>5.6326530612244898</v>
      </c>
      <c r="AW115" s="207">
        <f t="shared" si="50"/>
        <v>2.9888059706561747</v>
      </c>
      <c r="AX115" s="207">
        <f t="shared" si="51"/>
        <v>2.8121947087537644</v>
      </c>
      <c r="AZ115" s="150" t="s">
        <v>1234</v>
      </c>
      <c r="BA115" s="151">
        <v>41400000</v>
      </c>
      <c r="BB115" s="151">
        <v>22200000</v>
      </c>
      <c r="BC115" s="167">
        <v>20900000</v>
      </c>
      <c r="BD115" s="150" t="s">
        <v>1234</v>
      </c>
      <c r="BE115" s="207">
        <f t="shared" si="55"/>
        <v>5.6326530612244898</v>
      </c>
      <c r="BF115" s="155">
        <v>3.62</v>
      </c>
      <c r="BG115" s="207">
        <f t="shared" si="52"/>
        <v>3.015976934025776</v>
      </c>
      <c r="BH115" s="207">
        <f t="shared" si="53"/>
        <v>2.8393656721233658</v>
      </c>
    </row>
    <row r="116" spans="1:64" ht="51">
      <c r="A116" s="222" t="s">
        <v>796</v>
      </c>
      <c r="B116" s="275">
        <v>1150000</v>
      </c>
      <c r="C116" s="275">
        <v>578000</v>
      </c>
      <c r="D116" s="275">
        <v>587000</v>
      </c>
      <c r="E116" s="222" t="s">
        <v>796</v>
      </c>
      <c r="F116" s="73">
        <f t="shared" si="47"/>
        <v>0.15623301815020108</v>
      </c>
      <c r="G116" s="73">
        <f t="shared" si="48"/>
        <v>7.8524073470274972E-2</v>
      </c>
      <c r="H116" s="73">
        <f t="shared" si="49"/>
        <v>7.9746766655798274E-2</v>
      </c>
      <c r="AQ116" s="150" t="s">
        <v>1124</v>
      </c>
      <c r="AR116" s="151">
        <v>9540000</v>
      </c>
      <c r="AS116" s="151">
        <v>4290000</v>
      </c>
      <c r="AT116" s="167">
        <v>3530000</v>
      </c>
      <c r="AU116" s="150" t="s">
        <v>1124</v>
      </c>
      <c r="AV116" s="207">
        <f t="shared" si="54"/>
        <v>1.2979591836734694</v>
      </c>
      <c r="AW116" s="207">
        <f t="shared" si="50"/>
        <v>0.58281716427795405</v>
      </c>
      <c r="AX116" s="207">
        <f t="shared" si="51"/>
        <v>0.47956750347346805</v>
      </c>
      <c r="AZ116" s="150" t="s">
        <v>1124</v>
      </c>
      <c r="BA116" s="151">
        <v>9540000</v>
      </c>
      <c r="BB116" s="151">
        <v>4360000</v>
      </c>
      <c r="BC116" s="167">
        <v>3600000</v>
      </c>
      <c r="BD116" s="150" t="s">
        <v>1124</v>
      </c>
      <c r="BE116" s="207">
        <f t="shared" si="55"/>
        <v>1.2979591836734694</v>
      </c>
      <c r="BF116" s="155">
        <v>0.79</v>
      </c>
      <c r="BG116" s="207">
        <f t="shared" si="52"/>
        <v>0.59232700145731465</v>
      </c>
      <c r="BH116" s="207">
        <f t="shared" si="53"/>
        <v>0.4890773406528286</v>
      </c>
    </row>
    <row r="117" spans="1:64">
      <c r="A117" s="222" t="s">
        <v>797</v>
      </c>
      <c r="B117" s="275">
        <v>1410000</v>
      </c>
      <c r="C117" s="275">
        <v>1160000</v>
      </c>
      <c r="D117" s="275">
        <v>1060000</v>
      </c>
      <c r="E117" s="222" t="s">
        <v>797</v>
      </c>
      <c r="F117" s="73">
        <f t="shared" si="47"/>
        <v>0.19155526573198567</v>
      </c>
      <c r="G117" s="73">
        <f t="shared" si="48"/>
        <v>0.15759156613411585</v>
      </c>
      <c r="H117" s="73">
        <f t="shared" si="49"/>
        <v>0.14400608629496794</v>
      </c>
      <c r="AQ117" s="150" t="s">
        <v>1125</v>
      </c>
      <c r="AR117" s="151">
        <v>9970000</v>
      </c>
      <c r="AS117" s="151">
        <v>3130000</v>
      </c>
      <c r="AT117" s="167">
        <v>2620000</v>
      </c>
      <c r="AU117" s="150" t="s">
        <v>1125</v>
      </c>
      <c r="AV117" s="207">
        <f t="shared" si="54"/>
        <v>1.3564625850340135</v>
      </c>
      <c r="AW117" s="207">
        <f t="shared" si="50"/>
        <v>0.42522557673426487</v>
      </c>
      <c r="AX117" s="207">
        <f t="shared" si="51"/>
        <v>0.35593962014178082</v>
      </c>
      <c r="AZ117" s="150" t="s">
        <v>1125</v>
      </c>
      <c r="BA117" s="151">
        <v>9970000</v>
      </c>
      <c r="BB117" s="151">
        <v>3140000</v>
      </c>
      <c r="BC117" s="167">
        <v>2630000</v>
      </c>
      <c r="BD117" s="150" t="s">
        <v>1125</v>
      </c>
      <c r="BE117" s="207">
        <f t="shared" si="55"/>
        <v>1.3564625850340135</v>
      </c>
      <c r="BF117" s="155">
        <v>0.85</v>
      </c>
      <c r="BG117" s="207">
        <f t="shared" si="52"/>
        <v>0.42658412490274489</v>
      </c>
      <c r="BH117" s="207">
        <f t="shared" si="53"/>
        <v>0.3572981683102609</v>
      </c>
    </row>
    <row r="118" spans="1:64">
      <c r="A118" s="222" t="s">
        <v>1039</v>
      </c>
      <c r="B118" s="275">
        <v>0</v>
      </c>
      <c r="C118" s="275">
        <v>0</v>
      </c>
      <c r="D118" s="275">
        <v>0</v>
      </c>
      <c r="E118" s="222" t="s">
        <v>1039</v>
      </c>
      <c r="F118" s="73">
        <f t="shared" si="47"/>
        <v>0</v>
      </c>
      <c r="G118" s="73">
        <f t="shared" si="48"/>
        <v>0</v>
      </c>
      <c r="H118" s="73">
        <f t="shared" si="49"/>
        <v>0</v>
      </c>
      <c r="AQ118" s="150" t="s">
        <v>1237</v>
      </c>
      <c r="AR118" s="151">
        <v>58900000</v>
      </c>
      <c r="AS118" s="151">
        <v>29800000</v>
      </c>
      <c r="AT118" s="167">
        <v>28700000</v>
      </c>
      <c r="AU118" s="150" t="s">
        <v>1237</v>
      </c>
      <c r="AV118" s="207">
        <f t="shared" si="54"/>
        <v>8.0136054421768694</v>
      </c>
      <c r="AW118" s="207">
        <f t="shared" si="50"/>
        <v>4.0484735420706368</v>
      </c>
      <c r="AX118" s="207">
        <f t="shared" si="51"/>
        <v>3.8990332435378279</v>
      </c>
      <c r="AZ118" s="150" t="s">
        <v>1237</v>
      </c>
      <c r="BA118" s="151">
        <v>58900000</v>
      </c>
      <c r="BB118" s="151">
        <v>29800000</v>
      </c>
      <c r="BC118" s="167">
        <v>28700000</v>
      </c>
      <c r="BD118" s="150" t="s">
        <v>1237</v>
      </c>
      <c r="BE118" s="207">
        <f t="shared" si="55"/>
        <v>8.0136054421768694</v>
      </c>
      <c r="BF118" s="155">
        <v>5.07</v>
      </c>
      <c r="BG118" s="207">
        <f t="shared" si="52"/>
        <v>4.0484735420706368</v>
      </c>
      <c r="BH118" s="207">
        <f t="shared" si="53"/>
        <v>3.8990332435378279</v>
      </c>
    </row>
    <row r="119" spans="1:64" ht="25.5">
      <c r="A119" s="222" t="s">
        <v>1040</v>
      </c>
      <c r="B119" s="275">
        <v>2280000</v>
      </c>
      <c r="C119" s="275">
        <v>1140000</v>
      </c>
      <c r="D119" s="275">
        <v>1210000</v>
      </c>
      <c r="E119" s="222" t="s">
        <v>1040</v>
      </c>
      <c r="F119" s="73">
        <f t="shared" si="47"/>
        <v>0.30974894033257255</v>
      </c>
      <c r="G119" s="73">
        <f t="shared" si="48"/>
        <v>0.15487447016628628</v>
      </c>
      <c r="H119" s="73">
        <f t="shared" si="49"/>
        <v>0.16438430605368981</v>
      </c>
      <c r="AQ119" s="150" t="s">
        <v>1238</v>
      </c>
      <c r="AR119" s="151">
        <v>191000000</v>
      </c>
      <c r="AS119" s="151">
        <v>95400000</v>
      </c>
      <c r="AT119" s="167">
        <v>88800000</v>
      </c>
      <c r="AU119" s="150" t="s">
        <v>1238</v>
      </c>
      <c r="AV119" s="207">
        <f t="shared" si="54"/>
        <v>25.986394557823129</v>
      </c>
      <c r="AW119" s="207">
        <f t="shared" si="50"/>
        <v>12.960549527299959</v>
      </c>
      <c r="AX119" s="207">
        <f t="shared" si="51"/>
        <v>12.063907736103104</v>
      </c>
      <c r="AZ119" s="150" t="s">
        <v>1238</v>
      </c>
      <c r="BA119" s="151">
        <v>191000000</v>
      </c>
      <c r="BB119" s="151">
        <v>96300000</v>
      </c>
      <c r="BC119" s="167">
        <v>89700000</v>
      </c>
      <c r="BD119" s="150" t="s">
        <v>1238</v>
      </c>
      <c r="BE119" s="207">
        <f t="shared" si="55"/>
        <v>25.986394557823129</v>
      </c>
      <c r="BF119" s="155">
        <v>16.420000000000002</v>
      </c>
      <c r="BG119" s="207">
        <f t="shared" si="52"/>
        <v>13.082818862463164</v>
      </c>
      <c r="BH119" s="207">
        <f t="shared" si="53"/>
        <v>12.186177071266311</v>
      </c>
    </row>
    <row r="120" spans="1:64">
      <c r="A120" s="222" t="s">
        <v>1041</v>
      </c>
      <c r="B120" s="275">
        <v>10800000</v>
      </c>
      <c r="C120" s="275">
        <v>8920000</v>
      </c>
      <c r="D120" s="275">
        <v>8110000</v>
      </c>
      <c r="E120" s="222" t="s">
        <v>1041</v>
      </c>
      <c r="F120" s="73">
        <f t="shared" si="47"/>
        <v>1.4672318226279752</v>
      </c>
      <c r="G120" s="73">
        <f t="shared" si="48"/>
        <v>1.2118248016519944</v>
      </c>
      <c r="H120" s="73">
        <f t="shared" si="49"/>
        <v>1.1017824149548963</v>
      </c>
      <c r="AQ120" s="142" t="s">
        <v>646</v>
      </c>
      <c r="AR120" s="143">
        <f>SUM(AR109:AR119)</f>
        <v>736079900</v>
      </c>
      <c r="AS120" s="143">
        <f>SUM(AS109:AS119)</f>
        <v>341982800</v>
      </c>
      <c r="AT120" s="143">
        <f>SUM(AT109:AT119)</f>
        <v>273981100</v>
      </c>
      <c r="AU120" s="142" t="s">
        <v>646</v>
      </c>
      <c r="AV120" s="207">
        <f t="shared" si="54"/>
        <v>100.14692517006803</v>
      </c>
      <c r="AW120" s="285">
        <f>SUM(AW109:AW119)</f>
        <v>46.46001065916893</v>
      </c>
      <c r="AX120" s="207">
        <f t="shared" si="51"/>
        <v>37.221652160315749</v>
      </c>
      <c r="AZ120" s="142" t="s">
        <v>646</v>
      </c>
      <c r="BA120" s="143">
        <f>SUM(BA109:BA119)</f>
        <v>736079900</v>
      </c>
      <c r="BB120" s="143">
        <f>SUM(BB109:BB119)</f>
        <v>344663900</v>
      </c>
      <c r="BC120" s="143">
        <f>SUM(BC109:BC119)</f>
        <v>277163300</v>
      </c>
      <c r="BD120" s="142" t="s">
        <v>646</v>
      </c>
      <c r="BE120" s="207">
        <f t="shared" si="55"/>
        <v>100.14692517006803</v>
      </c>
      <c r="BF120" s="207">
        <f>SUM(BF109:BF119)</f>
        <v>61.54</v>
      </c>
      <c r="BG120" s="285">
        <f>SUM(BG109:BG119)</f>
        <v>46.824251008620124</v>
      </c>
      <c r="BH120" s="207">
        <f>(BC120/$AR$75)*100</f>
        <v>37.653969358489483</v>
      </c>
    </row>
    <row r="121" spans="1:64" ht="25.5">
      <c r="A121" s="222" t="s">
        <v>798</v>
      </c>
      <c r="B121" s="275">
        <v>1070000</v>
      </c>
      <c r="C121" s="275">
        <v>523000</v>
      </c>
      <c r="D121" s="275">
        <v>35100</v>
      </c>
      <c r="E121" s="222" t="s">
        <v>798</v>
      </c>
      <c r="F121" s="73">
        <f t="shared" si="47"/>
        <v>0.14536463427888274</v>
      </c>
      <c r="G121" s="73">
        <f t="shared" si="48"/>
        <v>7.1052059558743608E-2</v>
      </c>
      <c r="H121" s="73">
        <f t="shared" si="49"/>
        <v>4.7685034235409197E-3</v>
      </c>
      <c r="AQ121" s="150" t="s">
        <v>52</v>
      </c>
      <c r="AR121" s="151">
        <v>735000000</v>
      </c>
      <c r="AS121" s="151">
        <v>342000000</v>
      </c>
      <c r="AT121" s="167">
        <v>274000000</v>
      </c>
      <c r="AU121" s="150" t="s">
        <v>52</v>
      </c>
      <c r="AV121" s="151">
        <v>735000000</v>
      </c>
      <c r="AW121" s="151">
        <v>342000</v>
      </c>
      <c r="AX121" s="167">
        <v>452000000</v>
      </c>
      <c r="AZ121" s="150" t="s">
        <v>52</v>
      </c>
      <c r="BA121" s="151">
        <v>735000000</v>
      </c>
      <c r="BB121" s="151">
        <v>345000000</v>
      </c>
      <c r="BC121" s="167">
        <v>277000000</v>
      </c>
      <c r="BD121" s="150" t="s">
        <v>52</v>
      </c>
      <c r="BE121" s="151">
        <v>735000000</v>
      </c>
      <c r="BG121" s="151">
        <v>345000</v>
      </c>
      <c r="BH121" s="167">
        <v>277000000</v>
      </c>
      <c r="BL121" s="55" t="s">
        <v>309</v>
      </c>
    </row>
    <row r="122" spans="1:64">
      <c r="A122" s="222" t="s">
        <v>799</v>
      </c>
      <c r="B122" s="275">
        <v>1930000</v>
      </c>
      <c r="C122" s="275">
        <v>968000</v>
      </c>
      <c r="D122" s="275">
        <v>987000</v>
      </c>
      <c r="E122" s="222" t="s">
        <v>799</v>
      </c>
      <c r="F122" s="73">
        <f t="shared" si="47"/>
        <v>0.26219976089555486</v>
      </c>
      <c r="G122" s="73">
        <f t="shared" si="48"/>
        <v>0.13150744484295185</v>
      </c>
      <c r="H122" s="73">
        <f t="shared" si="49"/>
        <v>0.13408868601238996</v>
      </c>
    </row>
    <row r="123" spans="1:64">
      <c r="A123" s="222" t="s">
        <v>800</v>
      </c>
      <c r="B123" s="275">
        <v>2870000</v>
      </c>
      <c r="C123" s="275">
        <v>2360000</v>
      </c>
      <c r="D123" s="275">
        <v>2150000</v>
      </c>
      <c r="E123" s="222" t="s">
        <v>800</v>
      </c>
      <c r="F123" s="73">
        <f t="shared" si="47"/>
        <v>0.3899032713835453</v>
      </c>
      <c r="G123" s="73">
        <f t="shared" si="48"/>
        <v>0.32061732420389089</v>
      </c>
      <c r="H123" s="73">
        <f t="shared" si="49"/>
        <v>0.29208781654168026</v>
      </c>
    </row>
    <row r="124" spans="1:64" ht="25.5">
      <c r="A124" s="222" t="s">
        <v>693</v>
      </c>
      <c r="B124" s="275">
        <v>0</v>
      </c>
      <c r="C124" s="275">
        <v>0</v>
      </c>
      <c r="D124" s="275">
        <v>0</v>
      </c>
      <c r="E124" s="222" t="s">
        <v>693</v>
      </c>
      <c r="F124" s="73">
        <f t="shared" si="47"/>
        <v>0</v>
      </c>
      <c r="G124" s="73">
        <f t="shared" si="48"/>
        <v>0</v>
      </c>
      <c r="H124" s="73">
        <f t="shared" si="49"/>
        <v>0</v>
      </c>
    </row>
    <row r="125" spans="1:64" ht="25.5">
      <c r="A125" s="222" t="s">
        <v>945</v>
      </c>
      <c r="B125" s="275">
        <v>51100000</v>
      </c>
      <c r="C125" s="275">
        <v>25600000</v>
      </c>
      <c r="D125" s="275">
        <v>25800000</v>
      </c>
      <c r="E125" s="222" t="s">
        <v>945</v>
      </c>
      <c r="F125" s="73">
        <f t="shared" si="47"/>
        <v>6.9421801978045856</v>
      </c>
      <c r="G125" s="73">
        <f t="shared" si="48"/>
        <v>3.4778828388218672</v>
      </c>
      <c r="H125" s="73">
        <f t="shared" si="49"/>
        <v>3.5050537985001631</v>
      </c>
    </row>
    <row r="126" spans="1:64" ht="25.5">
      <c r="A126" s="222" t="s">
        <v>946</v>
      </c>
      <c r="B126" s="275">
        <v>25900000</v>
      </c>
      <c r="C126" s="275">
        <v>21300000</v>
      </c>
      <c r="D126" s="275">
        <v>19400000</v>
      </c>
      <c r="E126" s="222" t="s">
        <v>946</v>
      </c>
      <c r="F126" s="73">
        <f t="shared" si="47"/>
        <v>3.518639278339311</v>
      </c>
      <c r="G126" s="73">
        <f t="shared" si="48"/>
        <v>2.8937072057385067</v>
      </c>
      <c r="H126" s="73">
        <f t="shared" si="49"/>
        <v>2.6355830887946965</v>
      </c>
    </row>
    <row r="127" spans="1:64">
      <c r="A127" s="222" t="s">
        <v>927</v>
      </c>
      <c r="B127" s="275">
        <v>4250000</v>
      </c>
      <c r="C127" s="275">
        <v>2070000</v>
      </c>
      <c r="D127" s="275">
        <v>139000</v>
      </c>
      <c r="E127" s="222" t="s">
        <v>927</v>
      </c>
      <c r="F127" s="73">
        <f t="shared" si="47"/>
        <v>0.57738289316378655</v>
      </c>
      <c r="G127" s="73">
        <f t="shared" si="48"/>
        <v>0.28121943267036192</v>
      </c>
      <c r="H127" s="73">
        <f t="shared" si="49"/>
        <v>1.8883816976415606E-2</v>
      </c>
    </row>
    <row r="128" spans="1:64">
      <c r="A128" s="222" t="s">
        <v>928</v>
      </c>
      <c r="B128" s="275">
        <v>105000</v>
      </c>
      <c r="C128" s="275">
        <v>52700</v>
      </c>
      <c r="D128" s="275">
        <v>53800</v>
      </c>
      <c r="E128" s="222" t="s">
        <v>928</v>
      </c>
      <c r="F128" s="73">
        <f t="shared" si="47"/>
        <v>1.4264753831105315E-2</v>
      </c>
      <c r="G128" s="73">
        <f t="shared" si="48"/>
        <v>7.1595478752309533E-3</v>
      </c>
      <c r="H128" s="73">
        <f t="shared" si="49"/>
        <v>7.30898815346158E-3</v>
      </c>
    </row>
    <row r="129" spans="1:34">
      <c r="A129" s="222" t="s">
        <v>929</v>
      </c>
      <c r="B129" s="275">
        <v>168000</v>
      </c>
      <c r="C129" s="275">
        <v>138000</v>
      </c>
      <c r="D129" s="275">
        <v>126000</v>
      </c>
      <c r="E129" s="222" t="s">
        <v>929</v>
      </c>
      <c r="F129" s="73">
        <f t="shared" si="47"/>
        <v>2.2823606129768505E-2</v>
      </c>
      <c r="G129" s="73">
        <f t="shared" si="48"/>
        <v>1.8747962178024127E-2</v>
      </c>
      <c r="H129" s="73">
        <f t="shared" si="49"/>
        <v>1.7117704597326377E-2</v>
      </c>
    </row>
    <row r="130" spans="1:34">
      <c r="A130" s="222" t="s">
        <v>1042</v>
      </c>
      <c r="B130" s="275">
        <f>SUM(B106:B129)</f>
        <v>586517000</v>
      </c>
      <c r="C130" s="275">
        <f>SUM(C106:C129)</f>
        <v>407135700</v>
      </c>
      <c r="D130" s="275">
        <f>SUM(D106:D129)</f>
        <v>364023700</v>
      </c>
      <c r="E130" s="222" t="s">
        <v>1042</v>
      </c>
      <c r="F130" s="73">
        <f>SUM(F106:F129)</f>
        <v>79.681148788175193</v>
      </c>
      <c r="G130" s="73">
        <f>SUM(G106:G129)</f>
        <v>55.311338441473765</v>
      </c>
      <c r="H130" s="73">
        <f>SUM(H106:H129)</f>
        <v>49.454366373220296</v>
      </c>
    </row>
    <row r="132" spans="1:34" ht="42.75">
      <c r="F132" s="47" t="s">
        <v>1034</v>
      </c>
      <c r="G132" s="47" t="s">
        <v>1232</v>
      </c>
      <c r="H132" s="47" t="s">
        <v>890</v>
      </c>
      <c r="I132" s="47" t="s">
        <v>1128</v>
      </c>
      <c r="J132" s="47" t="s">
        <v>1191</v>
      </c>
      <c r="K132" s="47" t="s">
        <v>921</v>
      </c>
      <c r="L132" s="47" t="s">
        <v>922</v>
      </c>
      <c r="M132" s="47" t="s">
        <v>923</v>
      </c>
      <c r="N132" s="47" t="s">
        <v>924</v>
      </c>
      <c r="O132" s="47" t="s">
        <v>925</v>
      </c>
      <c r="P132" s="47" t="s">
        <v>517</v>
      </c>
      <c r="Q132" s="47" t="s">
        <v>926</v>
      </c>
      <c r="W132" s="47" t="s">
        <v>1034</v>
      </c>
      <c r="X132" s="47" t="s">
        <v>1232</v>
      </c>
      <c r="Y132" s="47" t="s">
        <v>890</v>
      </c>
      <c r="Z132" s="47" t="s">
        <v>1128</v>
      </c>
      <c r="AA132" s="47" t="s">
        <v>1191</v>
      </c>
      <c r="AB132" s="47" t="s">
        <v>921</v>
      </c>
      <c r="AC132" s="47" t="s">
        <v>922</v>
      </c>
      <c r="AD132" s="47" t="s">
        <v>923</v>
      </c>
      <c r="AE132" s="47" t="s">
        <v>924</v>
      </c>
      <c r="AF132" s="47" t="s">
        <v>925</v>
      </c>
      <c r="AG132" s="47" t="s">
        <v>517</v>
      </c>
      <c r="AH132" s="47" t="s">
        <v>926</v>
      </c>
    </row>
    <row r="133" spans="1:34">
      <c r="E133" s="222" t="s">
        <v>836</v>
      </c>
      <c r="F133" s="73">
        <v>2.92</v>
      </c>
      <c r="G133" s="73">
        <v>0.05</v>
      </c>
      <c r="H133" s="73">
        <v>-0.97</v>
      </c>
      <c r="I133" t="s">
        <v>211</v>
      </c>
      <c r="J133" s="73">
        <f>(1*F133)</f>
        <v>2.92</v>
      </c>
      <c r="K133" s="73">
        <f>(1*F136)</f>
        <v>1.44</v>
      </c>
      <c r="L133" s="73">
        <f>(1*F139)</f>
        <v>0.57999999999999996</v>
      </c>
      <c r="M133" s="73">
        <f>(1*F142)</f>
        <v>0.08</v>
      </c>
      <c r="N133" s="73">
        <f>(1*F145)</f>
        <v>0</v>
      </c>
      <c r="O133" s="73">
        <f>(1*F148)</f>
        <v>0.15</v>
      </c>
      <c r="P133" s="73">
        <f>(1*F151)</f>
        <v>0</v>
      </c>
      <c r="Q133" s="73">
        <f>(1*F154)</f>
        <v>0.57999999999999996</v>
      </c>
      <c r="V133" s="222" t="s">
        <v>836</v>
      </c>
      <c r="W133" s="73">
        <v>2.92</v>
      </c>
      <c r="X133" s="73">
        <v>0.05</v>
      </c>
      <c r="Y133" s="73">
        <v>-0.97</v>
      </c>
      <c r="Z133" t="s">
        <v>211</v>
      </c>
      <c r="AA133" s="73">
        <f>(1*W133)</f>
        <v>2.92</v>
      </c>
      <c r="AB133" s="73">
        <f>(1*W136)</f>
        <v>1.44</v>
      </c>
      <c r="AC133" s="73">
        <f>(1*W139)</f>
        <v>0.57999999999999996</v>
      </c>
      <c r="AD133" s="73">
        <f>(1*W142)</f>
        <v>0.08</v>
      </c>
      <c r="AE133" s="73">
        <f>(1*W145)</f>
        <v>0</v>
      </c>
      <c r="AF133" s="73">
        <f>(1*W148)</f>
        <v>0.15</v>
      </c>
      <c r="AG133" s="73">
        <f>(1*W151)</f>
        <v>0</v>
      </c>
      <c r="AH133" s="73">
        <f>(1*W154)</f>
        <v>0.57999999999999996</v>
      </c>
    </row>
    <row r="134" spans="1:34">
      <c r="E134" s="222" t="s">
        <v>787</v>
      </c>
      <c r="F134" s="73">
        <v>14.42</v>
      </c>
      <c r="G134" s="73">
        <v>1.1299999999999999</v>
      </c>
      <c r="H134" s="73">
        <v>-2.59</v>
      </c>
      <c r="I134" t="s">
        <v>645</v>
      </c>
      <c r="J134" s="73">
        <f>(1*F134)</f>
        <v>14.42</v>
      </c>
      <c r="K134" s="73">
        <f>(1*F137)</f>
        <v>3.36</v>
      </c>
      <c r="L134" s="73">
        <f>(1*F140)</f>
        <v>0.1</v>
      </c>
      <c r="M134" s="73">
        <f>(1*F143)</f>
        <v>0.16</v>
      </c>
      <c r="N134" s="73">
        <f>(1*F146)</f>
        <v>0.38</v>
      </c>
      <c r="O134" s="73">
        <f>(1*F149)</f>
        <v>0.26</v>
      </c>
      <c r="P134" s="73">
        <f>(1*F152)</f>
        <v>6.95</v>
      </c>
      <c r="Q134" s="73">
        <f>(1*F155)</f>
        <v>0.01</v>
      </c>
      <c r="V134" s="222" t="s">
        <v>787</v>
      </c>
      <c r="W134" s="73">
        <v>14.4</v>
      </c>
      <c r="X134" s="73">
        <v>1.37</v>
      </c>
      <c r="Y134" s="73">
        <v>-2.36</v>
      </c>
      <c r="Z134" t="s">
        <v>645</v>
      </c>
      <c r="AA134" s="73">
        <f>(1*W134)</f>
        <v>14.4</v>
      </c>
      <c r="AB134" s="73">
        <f>(1*W137)</f>
        <v>3.36</v>
      </c>
      <c r="AC134" s="73">
        <f>(1*W140)</f>
        <v>0.1</v>
      </c>
      <c r="AD134" s="73">
        <f>(1*W143)</f>
        <v>0.16</v>
      </c>
      <c r="AE134" s="73">
        <f>(1*W146)</f>
        <v>0.38</v>
      </c>
      <c r="AF134" s="73">
        <f>(1*W149)</f>
        <v>0.26</v>
      </c>
      <c r="AG134" s="73">
        <f>(1*W152)</f>
        <v>6.95</v>
      </c>
      <c r="AH134" s="73">
        <f>(1*W155)</f>
        <v>0.01</v>
      </c>
    </row>
    <row r="135" spans="1:34">
      <c r="E135" s="222" t="s">
        <v>788</v>
      </c>
      <c r="F135" s="73">
        <v>23.26</v>
      </c>
      <c r="G135" s="73">
        <v>17.39</v>
      </c>
      <c r="H135" s="73">
        <v>17.39</v>
      </c>
      <c r="I135" t="s">
        <v>644</v>
      </c>
      <c r="J135" s="73">
        <f>(1*F135)</f>
        <v>23.26</v>
      </c>
      <c r="K135" s="73">
        <f>(1*F138)</f>
        <v>19.02</v>
      </c>
      <c r="L135" s="73">
        <f>(1*F141)</f>
        <v>0.56999999999999995</v>
      </c>
      <c r="M135" s="73">
        <f>(1*F144)</f>
        <v>0.19</v>
      </c>
      <c r="N135" s="73">
        <f>(1*F147)</f>
        <v>1.47</v>
      </c>
      <c r="O135" s="73">
        <f>(1*F150)</f>
        <v>0.39</v>
      </c>
      <c r="P135" s="73">
        <f>(1*F153)</f>
        <v>3.52</v>
      </c>
      <c r="Q135" s="73">
        <f>(1*F156)</f>
        <v>0.02</v>
      </c>
      <c r="V135" s="222" t="s">
        <v>788</v>
      </c>
      <c r="W135" s="73">
        <v>23.26</v>
      </c>
      <c r="X135" s="73">
        <v>17.399999999999999</v>
      </c>
      <c r="Y135" s="73">
        <v>17.399999999999999</v>
      </c>
      <c r="Z135" t="s">
        <v>644</v>
      </c>
      <c r="AA135" s="73">
        <f>(1*W135)</f>
        <v>23.26</v>
      </c>
      <c r="AB135" s="73">
        <f>(1*W138)</f>
        <v>19.05</v>
      </c>
      <c r="AC135" s="73">
        <f>(1*W141)</f>
        <v>0.56999999999999995</v>
      </c>
      <c r="AD135" s="73">
        <f>(1*W144)</f>
        <v>0.19</v>
      </c>
      <c r="AE135" s="73">
        <f>(1*W147)</f>
        <v>1.47</v>
      </c>
      <c r="AF135" s="73">
        <f>(1*W150)</f>
        <v>0.39</v>
      </c>
      <c r="AG135" s="73">
        <f>(1*W153)</f>
        <v>3.52</v>
      </c>
      <c r="AH135" s="73">
        <f>(1*W156)</f>
        <v>0.02</v>
      </c>
    </row>
    <row r="136" spans="1:34" ht="57">
      <c r="E136" s="222" t="s">
        <v>789</v>
      </c>
      <c r="F136" s="73">
        <v>1.44</v>
      </c>
      <c r="G136" s="73">
        <v>0.02</v>
      </c>
      <c r="H136" s="73">
        <v>-0.48</v>
      </c>
      <c r="I136" s="47" t="s">
        <v>1129</v>
      </c>
      <c r="J136" s="47" t="s">
        <v>1191</v>
      </c>
      <c r="K136" s="47" t="s">
        <v>921</v>
      </c>
      <c r="L136" s="47" t="s">
        <v>922</v>
      </c>
      <c r="M136" s="47" t="s">
        <v>923</v>
      </c>
      <c r="N136" s="47" t="s">
        <v>924</v>
      </c>
      <c r="O136" s="47" t="s">
        <v>925</v>
      </c>
      <c r="P136" s="47" t="s">
        <v>517</v>
      </c>
      <c r="Q136" s="47" t="s">
        <v>926</v>
      </c>
      <c r="V136" s="222" t="s">
        <v>789</v>
      </c>
      <c r="W136" s="73">
        <v>1.44</v>
      </c>
      <c r="X136" s="73">
        <v>0.02</v>
      </c>
      <c r="Y136" s="73">
        <v>-0.48</v>
      </c>
      <c r="Z136" s="47" t="s">
        <v>1131</v>
      </c>
      <c r="AA136" s="47" t="s">
        <v>1191</v>
      </c>
      <c r="AB136" s="47" t="s">
        <v>921</v>
      </c>
      <c r="AC136" s="47" t="s">
        <v>922</v>
      </c>
      <c r="AD136" s="47" t="s">
        <v>923</v>
      </c>
      <c r="AE136" s="47" t="s">
        <v>924</v>
      </c>
      <c r="AF136" s="47" t="s">
        <v>925</v>
      </c>
      <c r="AG136" s="47" t="s">
        <v>517</v>
      </c>
      <c r="AH136" s="47" t="s">
        <v>926</v>
      </c>
    </row>
    <row r="137" spans="1:34">
      <c r="E137" s="222" t="s">
        <v>790</v>
      </c>
      <c r="F137" s="73">
        <v>3.36</v>
      </c>
      <c r="G137" s="73">
        <v>0.27</v>
      </c>
      <c r="H137" s="73">
        <v>-0.55000000000000004</v>
      </c>
      <c r="I137" t="s">
        <v>211</v>
      </c>
      <c r="J137" s="73">
        <f>(1*G133)</f>
        <v>0.05</v>
      </c>
      <c r="K137" s="73">
        <f>(1*G136)</f>
        <v>0.02</v>
      </c>
      <c r="L137" s="73">
        <f>(1*G139)</f>
        <v>0.01</v>
      </c>
      <c r="M137" s="73">
        <f>(1*G142)</f>
        <v>3.0000000000000001E-3</v>
      </c>
      <c r="N137" s="73">
        <f>(1*G145)</f>
        <v>0</v>
      </c>
      <c r="O137" s="73">
        <f>(1*G148)</f>
        <v>3.0000000000000001E-3</v>
      </c>
      <c r="P137" s="73">
        <f>(1*G151)</f>
        <v>0</v>
      </c>
      <c r="Q137" s="73">
        <f>+(1*G154)</f>
        <v>0.01</v>
      </c>
      <c r="V137" s="222" t="s">
        <v>790</v>
      </c>
      <c r="W137" s="73">
        <v>3.36</v>
      </c>
      <c r="X137" s="73">
        <v>0.33</v>
      </c>
      <c r="Y137" s="73">
        <v>-0.49</v>
      </c>
      <c r="Z137" t="s">
        <v>211</v>
      </c>
      <c r="AA137" s="73">
        <f>(1*X133)</f>
        <v>0.05</v>
      </c>
      <c r="AB137" s="73">
        <f>(1*X136)</f>
        <v>0.02</v>
      </c>
      <c r="AC137" s="73">
        <f>(1*X139)</f>
        <v>0.01</v>
      </c>
      <c r="AD137" s="73">
        <f>(1*X142)</f>
        <v>3.0000000000000001E-3</v>
      </c>
      <c r="AE137" s="73">
        <f>(1*X145)</f>
        <v>0</v>
      </c>
      <c r="AF137" s="73">
        <f>(1*X148)</f>
        <v>3.0000000000000001E-3</v>
      </c>
      <c r="AG137" s="73">
        <f>(1*X151)</f>
        <v>0</v>
      </c>
      <c r="AH137" s="73">
        <f>+(1*X154)</f>
        <v>0.01</v>
      </c>
    </row>
    <row r="138" spans="1:34">
      <c r="E138" s="222" t="s">
        <v>791</v>
      </c>
      <c r="F138" s="73">
        <v>19.02</v>
      </c>
      <c r="G138" s="73">
        <v>14.26</v>
      </c>
      <c r="H138" s="73">
        <v>14.26</v>
      </c>
      <c r="I138" t="s">
        <v>645</v>
      </c>
      <c r="J138" s="73">
        <f>(1*G134)</f>
        <v>1.1299999999999999</v>
      </c>
      <c r="K138" s="73">
        <f>(1*G137)</f>
        <v>0.27</v>
      </c>
      <c r="L138" s="73">
        <f>(1*G140)</f>
        <v>0.01</v>
      </c>
      <c r="M138" s="73">
        <f>(1*G143)</f>
        <v>3.0000000000000001E-3</v>
      </c>
      <c r="N138" s="73">
        <f>(1*G146)</f>
        <v>0.03</v>
      </c>
      <c r="O138" s="73">
        <f>(1*G149)</f>
        <v>0.03</v>
      </c>
      <c r="P138" s="73">
        <f>(1*G152)</f>
        <v>0.56000000000000005</v>
      </c>
      <c r="Q138" s="73">
        <f>+(1*G155)</f>
        <v>1E-3</v>
      </c>
      <c r="V138" s="222" t="s">
        <v>791</v>
      </c>
      <c r="W138" s="73">
        <v>19.05</v>
      </c>
      <c r="X138" s="73">
        <v>14.28</v>
      </c>
      <c r="Y138" s="73">
        <v>14.28</v>
      </c>
      <c r="Z138" t="s">
        <v>645</v>
      </c>
      <c r="AA138" s="73">
        <f>(1*X134)</f>
        <v>1.37</v>
      </c>
      <c r="AB138" s="73">
        <f>(1*X137)</f>
        <v>0.33</v>
      </c>
      <c r="AC138" s="73">
        <f>(1*X140)</f>
        <v>0.01</v>
      </c>
      <c r="AD138" s="73">
        <f>(1*X143)</f>
        <v>0.03</v>
      </c>
      <c r="AE138" s="73">
        <f>(1*X146)</f>
        <v>0.03</v>
      </c>
      <c r="AF138" s="73">
        <f>(1*X149)</f>
        <v>0.03</v>
      </c>
      <c r="AG138" s="73">
        <f>(1*X152)</f>
        <v>0.59</v>
      </c>
      <c r="AH138" s="73">
        <f>+(1*X155)</f>
        <v>1E-3</v>
      </c>
    </row>
    <row r="139" spans="1:34">
      <c r="E139" s="222" t="s">
        <v>792</v>
      </c>
      <c r="F139" s="73">
        <v>0.57999999999999996</v>
      </c>
      <c r="G139" s="73">
        <v>0.01</v>
      </c>
      <c r="H139" s="73">
        <v>-0.16</v>
      </c>
      <c r="I139" t="s">
        <v>644</v>
      </c>
      <c r="J139" s="73">
        <f>(1*G135)</f>
        <v>17.39</v>
      </c>
      <c r="K139" s="73">
        <f>(1*G138)</f>
        <v>14.26</v>
      </c>
      <c r="L139" s="73">
        <f>(1*G141)</f>
        <v>0.43</v>
      </c>
      <c r="M139" s="73">
        <f>(1*G144)</f>
        <v>0.14399999999999999</v>
      </c>
      <c r="N139" s="73">
        <f>(1*G147)</f>
        <v>1.1000000000000001</v>
      </c>
      <c r="O139" s="73">
        <f>(1*G150)</f>
        <v>0.28999999999999998</v>
      </c>
      <c r="P139" s="73">
        <f>(1*G153)</f>
        <v>2.64</v>
      </c>
      <c r="Q139" s="73">
        <f>+(1*G156)</f>
        <v>0.02</v>
      </c>
      <c r="V139" s="222" t="s">
        <v>792</v>
      </c>
      <c r="W139" s="73">
        <v>0.57999999999999996</v>
      </c>
      <c r="X139" s="73">
        <v>0.01</v>
      </c>
      <c r="Y139" s="73">
        <v>-0.16</v>
      </c>
      <c r="Z139" t="s">
        <v>644</v>
      </c>
      <c r="AA139" s="73">
        <f>(1*X135)</f>
        <v>17.399999999999999</v>
      </c>
      <c r="AB139" s="73">
        <f>(1*X138)</f>
        <v>14.28</v>
      </c>
      <c r="AC139" s="73">
        <f>(1*X141)</f>
        <v>0.43</v>
      </c>
      <c r="AD139" s="73">
        <f>(1*X144)</f>
        <v>0.14399999999999999</v>
      </c>
      <c r="AE139" s="73">
        <f>(1*X147)</f>
        <v>1.1000000000000001</v>
      </c>
      <c r="AF139" s="73">
        <f>(1*X150)</f>
        <v>0.28999999999999998</v>
      </c>
      <c r="AG139" s="73">
        <f>(1*X153)</f>
        <v>2.64</v>
      </c>
      <c r="AH139" s="73">
        <f>+(1*X156)</f>
        <v>0.02</v>
      </c>
    </row>
    <row r="140" spans="1:34" ht="57">
      <c r="E140" s="222" t="s">
        <v>793</v>
      </c>
      <c r="F140" s="73">
        <v>0.1</v>
      </c>
      <c r="G140" s="73">
        <v>0.01</v>
      </c>
      <c r="H140" s="73">
        <v>-0.01</v>
      </c>
      <c r="I140" s="47" t="s">
        <v>1130</v>
      </c>
      <c r="J140" s="47" t="s">
        <v>1191</v>
      </c>
      <c r="K140" s="47" t="s">
        <v>921</v>
      </c>
      <c r="L140" s="47" t="s">
        <v>922</v>
      </c>
      <c r="M140" s="47" t="s">
        <v>923</v>
      </c>
      <c r="N140" s="47" t="s">
        <v>924</v>
      </c>
      <c r="O140" s="47" t="s">
        <v>925</v>
      </c>
      <c r="P140" s="47" t="s">
        <v>517</v>
      </c>
      <c r="Q140" s="47" t="s">
        <v>926</v>
      </c>
      <c r="V140" s="222" t="s">
        <v>793</v>
      </c>
      <c r="W140" s="73">
        <v>0.1</v>
      </c>
      <c r="X140" s="73">
        <v>0.01</v>
      </c>
      <c r="Y140" s="73">
        <v>-0.01</v>
      </c>
      <c r="Z140" s="47" t="s">
        <v>1132</v>
      </c>
      <c r="AA140" s="47" t="s">
        <v>1191</v>
      </c>
      <c r="AB140" s="47" t="s">
        <v>921</v>
      </c>
      <c r="AC140" s="47" t="s">
        <v>922</v>
      </c>
      <c r="AD140" s="47" t="s">
        <v>923</v>
      </c>
      <c r="AE140" s="47" t="s">
        <v>924</v>
      </c>
      <c r="AF140" s="47" t="s">
        <v>925</v>
      </c>
      <c r="AG140" s="47" t="s">
        <v>517</v>
      </c>
      <c r="AH140" s="47" t="s">
        <v>926</v>
      </c>
    </row>
    <row r="141" spans="1:34">
      <c r="E141" s="222" t="s">
        <v>794</v>
      </c>
      <c r="F141" s="73">
        <v>0.56999999999999995</v>
      </c>
      <c r="G141" s="73">
        <v>0.43</v>
      </c>
      <c r="H141" s="73">
        <v>0.43</v>
      </c>
      <c r="I141" t="s">
        <v>211</v>
      </c>
      <c r="J141" s="73">
        <f>(1*H133)</f>
        <v>-0.97</v>
      </c>
      <c r="K141" s="73">
        <f>(1*H136)</f>
        <v>-0.48</v>
      </c>
      <c r="L141" s="73">
        <f>(1*H139)</f>
        <v>-0.16</v>
      </c>
      <c r="M141" s="73">
        <f>(1*H142)</f>
        <v>-7.0000000000000007E-2</v>
      </c>
      <c r="N141" s="73">
        <f>(1*H145)</f>
        <v>0</v>
      </c>
      <c r="O141" s="73">
        <f>(1*H148)</f>
        <v>-0.02</v>
      </c>
      <c r="P141" s="73">
        <f>(1*H151)</f>
        <v>0</v>
      </c>
      <c r="Q141" s="73">
        <f>(1*H154)</f>
        <v>-0.21</v>
      </c>
      <c r="V141" s="222" t="s">
        <v>794</v>
      </c>
      <c r="W141" s="73">
        <v>0.56999999999999995</v>
      </c>
      <c r="X141" s="73">
        <v>0.43</v>
      </c>
      <c r="Y141" s="73">
        <v>0.43</v>
      </c>
      <c r="Z141" t="s">
        <v>211</v>
      </c>
      <c r="AA141" s="73">
        <f>(1*Y133)</f>
        <v>-0.97</v>
      </c>
      <c r="AB141" s="73">
        <f>(1*Y136)</f>
        <v>-0.48</v>
      </c>
      <c r="AC141" s="73">
        <f>(1*Y139)</f>
        <v>-0.16</v>
      </c>
      <c r="AD141" s="73">
        <f>(1*Y142)</f>
        <v>-7.0000000000000007E-2</v>
      </c>
      <c r="AE141" s="73">
        <f>(1*Y145)</f>
        <v>0</v>
      </c>
      <c r="AF141" s="73">
        <f>(1*Y148)</f>
        <v>-0.02</v>
      </c>
      <c r="AG141" s="73">
        <f>(1*Y151)</f>
        <v>0</v>
      </c>
      <c r="AH141" s="73">
        <f>(1*Y154)</f>
        <v>-0.21</v>
      </c>
    </row>
    <row r="142" spans="1:34">
      <c r="E142" s="222" t="s">
        <v>795</v>
      </c>
      <c r="F142" s="73">
        <v>0.08</v>
      </c>
      <c r="G142" s="73">
        <v>3.0000000000000001E-3</v>
      </c>
      <c r="H142" s="73">
        <v>-7.0000000000000007E-2</v>
      </c>
      <c r="I142" t="s">
        <v>645</v>
      </c>
      <c r="J142" s="73">
        <f>(1*H134)</f>
        <v>-2.59</v>
      </c>
      <c r="K142" s="73">
        <f>(1*H137)</f>
        <v>-0.55000000000000004</v>
      </c>
      <c r="L142" s="73">
        <f>(1*H140)</f>
        <v>-0.01</v>
      </c>
      <c r="M142" s="73">
        <f>(1*H143)</f>
        <v>-0.13</v>
      </c>
      <c r="N142" s="73">
        <f>(1*H146)</f>
        <v>-0.02</v>
      </c>
      <c r="O142" s="73">
        <f>(1*H149)</f>
        <v>-0.01</v>
      </c>
      <c r="P142" s="73">
        <f>(1*H152)</f>
        <v>-1.88</v>
      </c>
      <c r="Q142" s="73">
        <f>(1*H155)</f>
        <v>4.0000000000000001E-3</v>
      </c>
      <c r="V142" s="222" t="s">
        <v>795</v>
      </c>
      <c r="W142" s="73">
        <v>0.08</v>
      </c>
      <c r="X142" s="73">
        <v>3.0000000000000001E-3</v>
      </c>
      <c r="Y142" s="73">
        <v>-7.0000000000000007E-2</v>
      </c>
      <c r="Z142" t="s">
        <v>645</v>
      </c>
      <c r="AA142" s="73">
        <f>(1*Y134)</f>
        <v>-2.36</v>
      </c>
      <c r="AB142" s="73">
        <f>(1*Y137)</f>
        <v>-0.49</v>
      </c>
      <c r="AC142" s="73">
        <f>(1*Y140)</f>
        <v>-0.01</v>
      </c>
      <c r="AD142" s="73">
        <f>(1*Y143)</f>
        <v>-0.13</v>
      </c>
      <c r="AE142" s="73">
        <f>(1*Y146)</f>
        <v>-0.01</v>
      </c>
      <c r="AF142" s="73">
        <f>(1*Y149)</f>
        <v>-0.01</v>
      </c>
      <c r="AG142" s="73">
        <f>(1*Y152)</f>
        <v>-1.7</v>
      </c>
      <c r="AH142" s="73">
        <f>(1*Y155)</f>
        <v>4.0000000000000001E-3</v>
      </c>
    </row>
    <row r="143" spans="1:34">
      <c r="E143" s="222" t="s">
        <v>796</v>
      </c>
      <c r="F143" s="73">
        <v>0.16</v>
      </c>
      <c r="G143" s="73">
        <v>3.0000000000000001E-3</v>
      </c>
      <c r="H143" s="73">
        <v>-0.13</v>
      </c>
      <c r="I143" t="s">
        <v>644</v>
      </c>
      <c r="J143" s="73">
        <f>(1*H135)</f>
        <v>17.39</v>
      </c>
      <c r="K143" s="73">
        <f>(1*H138)</f>
        <v>14.26</v>
      </c>
      <c r="L143" s="73">
        <f>(1*H141)</f>
        <v>0.43</v>
      </c>
      <c r="M143" s="73">
        <f>(1*H144)</f>
        <v>0.14399999999999999</v>
      </c>
      <c r="N143" s="73">
        <f>(1*H147)</f>
        <v>1.1000000000000001</v>
      </c>
      <c r="O143" s="73">
        <f>(1*H150)</f>
        <v>0.28999999999999998</v>
      </c>
      <c r="P143" s="73">
        <f>(1*H153)</f>
        <v>2.64</v>
      </c>
      <c r="Q143" s="73">
        <f>(1*H156)</f>
        <v>0.02</v>
      </c>
      <c r="V143" s="222" t="s">
        <v>796</v>
      </c>
      <c r="W143" s="73">
        <v>0.16</v>
      </c>
      <c r="X143" s="73">
        <v>0.03</v>
      </c>
      <c r="Y143" s="73">
        <v>-0.13</v>
      </c>
      <c r="Z143" t="s">
        <v>644</v>
      </c>
      <c r="AA143" s="73">
        <f>(1*Y135)</f>
        <v>17.399999999999999</v>
      </c>
      <c r="AB143" s="73">
        <f>(1*Y138)</f>
        <v>14.28</v>
      </c>
      <c r="AC143" s="73">
        <f>(1*Y141)</f>
        <v>0.43</v>
      </c>
      <c r="AD143" s="73">
        <f>(1*Y144)</f>
        <v>0.14399999999999999</v>
      </c>
      <c r="AE143" s="73">
        <f>(1*Y147)</f>
        <v>1.1000000000000001</v>
      </c>
      <c r="AF143" s="73">
        <f>(1*Y150)</f>
        <v>0.28999999999999998</v>
      </c>
      <c r="AG143" s="73">
        <f>(1*Y153)</f>
        <v>2.64</v>
      </c>
      <c r="AH143" s="73">
        <f>(1*Y156)</f>
        <v>0.02</v>
      </c>
    </row>
    <row r="144" spans="1:34">
      <c r="E144" s="222" t="s">
        <v>797</v>
      </c>
      <c r="F144" s="73">
        <v>0.19</v>
      </c>
      <c r="G144" s="73">
        <v>0.14399999999999999</v>
      </c>
      <c r="H144" s="73">
        <v>0.14399999999999999</v>
      </c>
      <c r="V144" s="222" t="s">
        <v>797</v>
      </c>
      <c r="W144" s="73">
        <v>0.19</v>
      </c>
      <c r="X144" s="73">
        <v>0.14399999999999999</v>
      </c>
      <c r="Y144" s="73">
        <v>0.14399999999999999</v>
      </c>
    </row>
    <row r="145" spans="5:25">
      <c r="E145" s="222" t="s">
        <v>1039</v>
      </c>
      <c r="F145" s="73">
        <v>0</v>
      </c>
      <c r="G145" s="73">
        <v>0</v>
      </c>
      <c r="H145" s="73">
        <v>0</v>
      </c>
      <c r="V145" s="222" t="s">
        <v>1039</v>
      </c>
      <c r="W145" s="73">
        <v>0</v>
      </c>
      <c r="X145" s="73">
        <v>0</v>
      </c>
      <c r="Y145" s="73">
        <v>0</v>
      </c>
    </row>
    <row r="146" spans="5:25">
      <c r="E146" s="222" t="s">
        <v>1040</v>
      </c>
      <c r="F146" s="73">
        <v>0.38</v>
      </c>
      <c r="G146" s="73">
        <v>0.03</v>
      </c>
      <c r="H146" s="73">
        <v>-0.02</v>
      </c>
      <c r="V146" s="222" t="s">
        <v>1040</v>
      </c>
      <c r="W146" s="73">
        <v>0.38</v>
      </c>
      <c r="X146" s="73">
        <v>0.03</v>
      </c>
      <c r="Y146" s="73">
        <v>-0.01</v>
      </c>
    </row>
    <row r="147" spans="5:25">
      <c r="E147" s="222" t="s">
        <v>1041</v>
      </c>
      <c r="F147" s="73">
        <v>1.47</v>
      </c>
      <c r="G147" s="73">
        <v>1.1000000000000001</v>
      </c>
      <c r="H147" s="73">
        <v>1.1000000000000001</v>
      </c>
      <c r="V147" s="222" t="s">
        <v>1041</v>
      </c>
      <c r="W147" s="73">
        <v>1.47</v>
      </c>
      <c r="X147" s="73">
        <v>1.1000000000000001</v>
      </c>
      <c r="Y147" s="73">
        <v>1.1000000000000001</v>
      </c>
    </row>
    <row r="148" spans="5:25">
      <c r="E148" s="222" t="s">
        <v>798</v>
      </c>
      <c r="F148" s="73">
        <v>0.15</v>
      </c>
      <c r="G148" s="73">
        <v>3.0000000000000001E-3</v>
      </c>
      <c r="H148" s="73">
        <v>-0.02</v>
      </c>
      <c r="V148" s="222" t="s">
        <v>798</v>
      </c>
      <c r="W148" s="73">
        <v>0.15</v>
      </c>
      <c r="X148" s="73">
        <v>3.0000000000000001E-3</v>
      </c>
      <c r="Y148" s="73">
        <v>-0.02</v>
      </c>
    </row>
    <row r="149" spans="5:25">
      <c r="E149" s="222" t="s">
        <v>799</v>
      </c>
      <c r="F149" s="73">
        <v>0.26</v>
      </c>
      <c r="G149" s="73">
        <v>0.03</v>
      </c>
      <c r="H149" s="73">
        <v>-0.01</v>
      </c>
      <c r="V149" s="222" t="s">
        <v>799</v>
      </c>
      <c r="W149" s="73">
        <v>0.26</v>
      </c>
      <c r="X149" s="73">
        <v>0.03</v>
      </c>
      <c r="Y149" s="73">
        <v>-0.01</v>
      </c>
    </row>
    <row r="150" spans="5:25">
      <c r="E150" s="222" t="s">
        <v>800</v>
      </c>
      <c r="F150" s="73">
        <v>0.39</v>
      </c>
      <c r="G150" s="73">
        <v>0.28999999999999998</v>
      </c>
      <c r="H150" s="73">
        <v>0.28999999999999998</v>
      </c>
      <c r="V150" s="222" t="s">
        <v>800</v>
      </c>
      <c r="W150" s="73">
        <v>0.39</v>
      </c>
      <c r="X150" s="73">
        <v>0.28999999999999998</v>
      </c>
      <c r="Y150" s="73">
        <v>0.28999999999999998</v>
      </c>
    </row>
    <row r="151" spans="5:25" ht="25.5">
      <c r="E151" s="222" t="s">
        <v>693</v>
      </c>
      <c r="F151" s="73">
        <v>0</v>
      </c>
      <c r="G151" s="73">
        <v>0</v>
      </c>
      <c r="H151" s="73">
        <v>0</v>
      </c>
      <c r="V151" s="222" t="s">
        <v>693</v>
      </c>
      <c r="W151" s="73">
        <v>0</v>
      </c>
      <c r="X151" s="73">
        <v>0</v>
      </c>
      <c r="Y151" s="73">
        <v>0</v>
      </c>
    </row>
    <row r="152" spans="5:25" ht="25.5">
      <c r="E152" s="222" t="s">
        <v>945</v>
      </c>
      <c r="F152" s="73">
        <v>6.95</v>
      </c>
      <c r="G152" s="73">
        <v>0.56000000000000005</v>
      </c>
      <c r="H152" s="73">
        <v>-1.88</v>
      </c>
      <c r="V152" s="222" t="s">
        <v>945</v>
      </c>
      <c r="W152" s="73">
        <v>6.95</v>
      </c>
      <c r="X152" s="73">
        <v>0.59</v>
      </c>
      <c r="Y152" s="73">
        <v>-1.7</v>
      </c>
    </row>
    <row r="153" spans="5:25" ht="25.5">
      <c r="E153" s="222" t="s">
        <v>946</v>
      </c>
      <c r="F153" s="73">
        <v>3.52</v>
      </c>
      <c r="G153" s="73">
        <v>2.64</v>
      </c>
      <c r="H153" s="73">
        <v>2.64</v>
      </c>
      <c r="V153" s="222" t="s">
        <v>946</v>
      </c>
      <c r="W153" s="73">
        <v>3.52</v>
      </c>
      <c r="X153" s="73">
        <v>2.64</v>
      </c>
      <c r="Y153" s="73">
        <v>2.64</v>
      </c>
    </row>
    <row r="154" spans="5:25">
      <c r="E154" s="222" t="s">
        <v>927</v>
      </c>
      <c r="F154" s="73">
        <v>0.57999999999999996</v>
      </c>
      <c r="G154" s="73">
        <v>0.01</v>
      </c>
      <c r="H154" s="73">
        <v>-0.21</v>
      </c>
      <c r="V154" s="222" t="s">
        <v>927</v>
      </c>
      <c r="W154" s="73">
        <v>0.57999999999999996</v>
      </c>
      <c r="X154" s="73">
        <v>0.01</v>
      </c>
      <c r="Y154" s="73">
        <v>-0.21</v>
      </c>
    </row>
    <row r="155" spans="5:25">
      <c r="E155" s="222" t="s">
        <v>928</v>
      </c>
      <c r="F155" s="73">
        <v>0.01</v>
      </c>
      <c r="G155" s="73">
        <v>1E-3</v>
      </c>
      <c r="H155" s="73">
        <v>4.0000000000000001E-3</v>
      </c>
      <c r="V155" s="222" t="s">
        <v>928</v>
      </c>
      <c r="W155" s="73">
        <v>0.01</v>
      </c>
      <c r="X155" s="73">
        <v>1E-3</v>
      </c>
      <c r="Y155" s="73">
        <v>4.0000000000000001E-3</v>
      </c>
    </row>
    <row r="156" spans="5:25">
      <c r="E156" s="222" t="s">
        <v>929</v>
      </c>
      <c r="F156" s="73">
        <v>0.02</v>
      </c>
      <c r="G156" s="73">
        <v>0.02</v>
      </c>
      <c r="H156" s="73">
        <v>0.02</v>
      </c>
      <c r="V156" s="222" t="s">
        <v>929</v>
      </c>
      <c r="W156" s="73">
        <v>0.02</v>
      </c>
      <c r="X156" s="73">
        <v>0.02</v>
      </c>
      <c r="Y156" s="73">
        <v>0.02</v>
      </c>
    </row>
    <row r="157" spans="5:25">
      <c r="E157" s="222" t="s">
        <v>1042</v>
      </c>
      <c r="F157" s="73">
        <f>SUM(F133:F156)</f>
        <v>79.829999999999984</v>
      </c>
      <c r="G157" s="73">
        <f>SUM(G133:G156)</f>
        <v>38.403999999999996</v>
      </c>
      <c r="H157" s="73">
        <f>SUM(H133:H156)</f>
        <v>29.178000000000001</v>
      </c>
      <c r="V157" s="222" t="s">
        <v>1042</v>
      </c>
      <c r="W157" s="73">
        <f>SUM(W133:W156)</f>
        <v>79.839999999999975</v>
      </c>
      <c r="X157" s="73">
        <f>SUM(X133:X156)</f>
        <v>38.790999999999997</v>
      </c>
      <c r="Y157" s="73">
        <f>SUM(Y133:Y156)</f>
        <v>29.687999999999992</v>
      </c>
    </row>
  </sheetData>
  <phoneticPr fontId="5" type="noConversion"/>
  <pageMargins left="0.75" right="0.75" top="1" bottom="1" header="0.5" footer="0.5"/>
  <rowBreaks count="2" manualBreakCount="2">
    <brk id="37" max="16383" man="1"/>
    <brk id="62" max="16383" man="1"/>
  </rowBreaks>
  <colBreaks count="4" manualBreakCount="4">
    <brk id="6" max="1048575" man="1"/>
    <brk id="15" max="1048575" man="1"/>
    <brk id="23" max="94" man="1"/>
    <brk id="42" max="1048575" man="1"/>
  </col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115"/>
  <sheetViews>
    <sheetView topLeftCell="A64" zoomScaleNormal="50" zoomScalePageLayoutView="50" workbookViewId="0">
      <selection activeCell="D104" sqref="D104"/>
    </sheetView>
  </sheetViews>
  <sheetFormatPr defaultColWidth="11" defaultRowHeight="14.25"/>
  <cols>
    <col min="1" max="1" width="30.125" customWidth="1"/>
    <col min="2" max="2" width="9.875" customWidth="1"/>
    <col min="3" max="3" width="10.375" customWidth="1"/>
    <col min="4" max="4" width="11.25" customWidth="1"/>
    <col min="5" max="5" width="9.25" customWidth="1"/>
    <col min="6" max="6" width="10.125" customWidth="1"/>
    <col min="7" max="7" width="19.625" customWidth="1"/>
    <col min="8" max="8" width="13.375" customWidth="1"/>
  </cols>
  <sheetData>
    <row r="1" spans="1:12" ht="25.5">
      <c r="A1" s="206" t="s">
        <v>681</v>
      </c>
      <c r="B1" s="155"/>
      <c r="C1" s="155"/>
      <c r="D1" s="155"/>
      <c r="E1" s="155"/>
      <c r="F1" s="155"/>
      <c r="G1" s="155"/>
      <c r="H1" s="150"/>
      <c r="I1" s="150" t="s">
        <v>1048</v>
      </c>
      <c r="J1" s="150" t="s">
        <v>1049</v>
      </c>
      <c r="K1" s="150" t="s">
        <v>1050</v>
      </c>
      <c r="L1" s="150" t="s">
        <v>87</v>
      </c>
    </row>
    <row r="2" spans="1:12" ht="29.25" customHeight="1">
      <c r="A2" s="150" t="s">
        <v>598</v>
      </c>
      <c r="B2" s="150" t="s">
        <v>1127</v>
      </c>
      <c r="C2" s="150" t="s">
        <v>1230</v>
      </c>
      <c r="D2" s="150" t="s">
        <v>1231</v>
      </c>
      <c r="E2" s="150" t="s">
        <v>599</v>
      </c>
      <c r="F2" s="150" t="s">
        <v>676</v>
      </c>
      <c r="G2" s="260" t="s">
        <v>713</v>
      </c>
      <c r="H2" s="166" t="s">
        <v>1052</v>
      </c>
      <c r="I2" s="166">
        <v>8011</v>
      </c>
      <c r="J2" s="166">
        <v>5341</v>
      </c>
      <c r="K2" s="166">
        <v>3815</v>
      </c>
      <c r="L2" s="166">
        <v>4756</v>
      </c>
    </row>
    <row r="3" spans="1:12" ht="38.25" customHeight="1">
      <c r="A3" s="150" t="s">
        <v>605</v>
      </c>
      <c r="B3" s="150">
        <v>380</v>
      </c>
      <c r="C3" s="207">
        <f t="shared" ref="C3:C31" si="0">(B3/1.513)</f>
        <v>251.15664243225382</v>
      </c>
      <c r="D3" s="207">
        <f>(C3*1.42)</f>
        <v>356.64243225380039</v>
      </c>
      <c r="E3" s="150" t="s">
        <v>600</v>
      </c>
      <c r="F3" s="150">
        <v>575</v>
      </c>
      <c r="G3" s="272" t="s">
        <v>1022</v>
      </c>
      <c r="H3" s="166" t="s">
        <v>1051</v>
      </c>
      <c r="I3" s="166">
        <v>7898</v>
      </c>
      <c r="J3" s="166">
        <v>5265</v>
      </c>
      <c r="K3" s="166">
        <v>3761</v>
      </c>
      <c r="L3" s="166">
        <v>4666</v>
      </c>
    </row>
    <row r="4" spans="1:12" ht="34.5" customHeight="1">
      <c r="A4" s="150" t="s">
        <v>606</v>
      </c>
      <c r="B4" s="150">
        <v>2200</v>
      </c>
      <c r="C4" s="207">
        <f t="shared" si="0"/>
        <v>1454.0647719762062</v>
      </c>
      <c r="D4" s="207">
        <f t="shared" ref="D4:D11" si="1">(C4*1.42)</f>
        <v>2064.7719762062129</v>
      </c>
      <c r="E4" s="150" t="s">
        <v>600</v>
      </c>
      <c r="F4" s="150"/>
      <c r="G4" s="272" t="s">
        <v>724</v>
      </c>
      <c r="H4" s="166" t="s">
        <v>1053</v>
      </c>
      <c r="I4" s="166">
        <v>8737</v>
      </c>
      <c r="J4" s="166">
        <v>5825</v>
      </c>
      <c r="K4" s="166">
        <v>4160</v>
      </c>
      <c r="L4" s="166">
        <v>5195</v>
      </c>
    </row>
    <row r="5" spans="1:12" ht="33.75">
      <c r="A5" s="150" t="s">
        <v>679</v>
      </c>
      <c r="B5" s="150">
        <v>67.5</v>
      </c>
      <c r="C5" s="207">
        <f t="shared" si="0"/>
        <v>44.613350958360876</v>
      </c>
      <c r="D5" s="207">
        <f t="shared" si="1"/>
        <v>63.35095836087244</v>
      </c>
      <c r="E5" s="150" t="s">
        <v>600</v>
      </c>
      <c r="F5" s="150">
        <v>50</v>
      </c>
      <c r="G5" s="272" t="s">
        <v>1023</v>
      </c>
      <c r="H5" s="166" t="s">
        <v>1055</v>
      </c>
      <c r="I5" s="166">
        <v>8971</v>
      </c>
      <c r="J5" s="166">
        <v>5981</v>
      </c>
      <c r="K5" s="166">
        <v>4009</v>
      </c>
      <c r="L5" s="166">
        <v>5221</v>
      </c>
    </row>
    <row r="6" spans="1:12" ht="33.75">
      <c r="A6" s="150" t="s">
        <v>680</v>
      </c>
      <c r="B6" s="150">
        <v>450</v>
      </c>
      <c r="C6" s="207">
        <f t="shared" si="0"/>
        <v>297.42233972240581</v>
      </c>
      <c r="D6" s="207">
        <f t="shared" si="1"/>
        <v>422.33972240581625</v>
      </c>
      <c r="E6" s="150" t="s">
        <v>600</v>
      </c>
      <c r="F6" s="150">
        <v>300</v>
      </c>
      <c r="G6" s="272" t="s">
        <v>916</v>
      </c>
      <c r="H6" s="166" t="s">
        <v>1054</v>
      </c>
      <c r="I6" s="166">
        <v>8467</v>
      </c>
      <c r="J6" s="166">
        <v>5645</v>
      </c>
      <c r="K6" s="166">
        <v>4032</v>
      </c>
      <c r="L6" s="166">
        <v>4708</v>
      </c>
    </row>
    <row r="7" spans="1:12" ht="45">
      <c r="A7" s="150" t="s">
        <v>682</v>
      </c>
      <c r="B7" s="150">
        <v>600</v>
      </c>
      <c r="C7" s="207">
        <f t="shared" si="0"/>
        <v>396.56311962987445</v>
      </c>
      <c r="D7" s="207">
        <f t="shared" si="1"/>
        <v>563.11962987442166</v>
      </c>
      <c r="E7" s="150" t="s">
        <v>600</v>
      </c>
      <c r="F7" s="239">
        <v>570</v>
      </c>
      <c r="G7" s="244" t="s">
        <v>740</v>
      </c>
      <c r="H7" s="155" t="s">
        <v>228</v>
      </c>
      <c r="I7">
        <f>SUM(I2:I6)/5</f>
        <v>8416.7999999999993</v>
      </c>
      <c r="L7">
        <f>SUM(L2:L6)/5</f>
        <v>4909.2</v>
      </c>
    </row>
    <row r="8" spans="1:12">
      <c r="A8" s="150" t="s">
        <v>847</v>
      </c>
      <c r="B8" s="150">
        <v>190</v>
      </c>
      <c r="C8" s="207">
        <f t="shared" si="0"/>
        <v>125.57832121612691</v>
      </c>
      <c r="D8" s="207">
        <f t="shared" si="1"/>
        <v>178.3212161269002</v>
      </c>
      <c r="E8" s="150" t="s">
        <v>600</v>
      </c>
      <c r="F8" s="150"/>
      <c r="G8" s="150"/>
      <c r="H8" s="155"/>
    </row>
    <row r="9" spans="1:12">
      <c r="A9" s="150" t="s">
        <v>712</v>
      </c>
      <c r="B9" s="150">
        <v>2000</v>
      </c>
      <c r="C9" s="207">
        <f t="shared" si="0"/>
        <v>1321.8770654329148</v>
      </c>
      <c r="D9" s="207">
        <f t="shared" si="1"/>
        <v>1877.0654329147389</v>
      </c>
      <c r="E9" s="150" t="s">
        <v>600</v>
      </c>
      <c r="F9" s="150"/>
      <c r="G9" s="244" t="s">
        <v>607</v>
      </c>
      <c r="H9" s="155"/>
    </row>
    <row r="10" spans="1:12" ht="56.25">
      <c r="A10" s="150" t="s">
        <v>664</v>
      </c>
      <c r="B10" s="150">
        <v>400</v>
      </c>
      <c r="C10" s="207">
        <f t="shared" si="0"/>
        <v>264.37541308658297</v>
      </c>
      <c r="D10" s="207">
        <f t="shared" si="1"/>
        <v>375.41308658294781</v>
      </c>
      <c r="E10" s="150" t="s">
        <v>600</v>
      </c>
      <c r="F10" s="150">
        <v>385</v>
      </c>
      <c r="G10" s="244" t="s">
        <v>741</v>
      </c>
      <c r="H10" s="155"/>
    </row>
    <row r="11" spans="1:12">
      <c r="A11" s="150" t="s">
        <v>665</v>
      </c>
      <c r="B11" s="150">
        <v>2</v>
      </c>
      <c r="C11" s="207">
        <f t="shared" si="0"/>
        <v>1.3218770654329148</v>
      </c>
      <c r="D11" s="207">
        <f t="shared" si="1"/>
        <v>1.8770654329147389</v>
      </c>
      <c r="E11" s="150" t="s">
        <v>666</v>
      </c>
      <c r="F11" s="150"/>
      <c r="G11" s="150"/>
      <c r="H11" s="155"/>
    </row>
    <row r="12" spans="1:12" ht="35.25" customHeight="1">
      <c r="A12" s="208" t="s">
        <v>667</v>
      </c>
      <c r="B12" s="208">
        <v>7000</v>
      </c>
      <c r="C12" s="209">
        <f t="shared" si="0"/>
        <v>4626.569729015202</v>
      </c>
      <c r="D12" s="213">
        <f>(C12*1.42)</f>
        <v>6569.7290152015867</v>
      </c>
      <c r="E12" s="208" t="s">
        <v>534</v>
      </c>
      <c r="F12" s="208"/>
      <c r="G12" s="245" t="s">
        <v>1140</v>
      </c>
      <c r="H12" s="155"/>
    </row>
    <row r="13" spans="1:12" ht="25.5">
      <c r="A13" s="208" t="s">
        <v>1138</v>
      </c>
      <c r="B13" s="208"/>
      <c r="C13" s="209"/>
      <c r="D13" s="209"/>
      <c r="E13" s="208"/>
      <c r="F13" s="208"/>
      <c r="G13" s="245"/>
      <c r="H13" s="155"/>
    </row>
    <row r="14" spans="1:12" ht="25.5">
      <c r="A14" s="208" t="s">
        <v>1013</v>
      </c>
      <c r="B14" s="208"/>
      <c r="C14" s="209"/>
      <c r="D14" s="209"/>
      <c r="E14" s="208"/>
      <c r="F14" s="208"/>
      <c r="G14" s="245"/>
      <c r="H14" s="155"/>
    </row>
    <row r="15" spans="1:12" ht="25.5">
      <c r="A15" s="208" t="s">
        <v>1139</v>
      </c>
      <c r="B15" s="208"/>
      <c r="C15" s="209"/>
      <c r="D15" s="209"/>
      <c r="E15" s="208"/>
      <c r="F15" s="208"/>
      <c r="G15" s="245"/>
      <c r="H15" s="166"/>
      <c r="I15" s="150" t="s">
        <v>1048</v>
      </c>
      <c r="J15" s="150" t="s">
        <v>1049</v>
      </c>
      <c r="K15" s="150" t="s">
        <v>1050</v>
      </c>
      <c r="L15" s="150" t="s">
        <v>87</v>
      </c>
    </row>
    <row r="16" spans="1:12" ht="45">
      <c r="A16" s="208" t="s">
        <v>1141</v>
      </c>
      <c r="B16" s="208"/>
      <c r="D16" s="209">
        <v>3500</v>
      </c>
      <c r="E16" s="208" t="s">
        <v>227</v>
      </c>
      <c r="F16" s="245" t="s">
        <v>1142</v>
      </c>
      <c r="G16" s="245" t="s">
        <v>1028</v>
      </c>
      <c r="H16" s="166" t="s">
        <v>1056</v>
      </c>
      <c r="I16" s="166">
        <v>7562</v>
      </c>
      <c r="J16" s="166">
        <v>5041</v>
      </c>
      <c r="K16" s="166">
        <v>3601</v>
      </c>
      <c r="L16" s="166">
        <v>4571</v>
      </c>
    </row>
    <row r="17" spans="1:12">
      <c r="A17" s="150" t="s">
        <v>529</v>
      </c>
      <c r="B17" s="150">
        <v>62</v>
      </c>
      <c r="C17" s="207">
        <f t="shared" si="0"/>
        <v>40.97818902842036</v>
      </c>
      <c r="D17" s="207">
        <f>(C17*1.42)</f>
        <v>58.189028420356905</v>
      </c>
      <c r="E17" s="150" t="s">
        <v>530</v>
      </c>
      <c r="F17" s="150"/>
      <c r="G17" s="244" t="s">
        <v>484</v>
      </c>
      <c r="H17" s="166" t="s">
        <v>802</v>
      </c>
      <c r="I17" s="166">
        <v>7797</v>
      </c>
      <c r="J17" s="166">
        <v>5198</v>
      </c>
      <c r="K17" s="166">
        <v>3713</v>
      </c>
      <c r="L17" s="166">
        <v>4646</v>
      </c>
    </row>
    <row r="18" spans="1:12">
      <c r="A18" s="150" t="s">
        <v>531</v>
      </c>
      <c r="B18" s="150">
        <v>135</v>
      </c>
      <c r="C18" s="207">
        <f t="shared" si="0"/>
        <v>89.226701916721751</v>
      </c>
      <c r="D18" s="207">
        <f>(C18*1.42)</f>
        <v>126.70191672174488</v>
      </c>
      <c r="E18" s="150" t="s">
        <v>532</v>
      </c>
      <c r="F18" s="150"/>
      <c r="G18" s="244" t="s">
        <v>484</v>
      </c>
      <c r="H18" s="166" t="s">
        <v>803</v>
      </c>
      <c r="I18" s="166">
        <v>7995</v>
      </c>
      <c r="J18" s="166">
        <v>5330</v>
      </c>
      <c r="K18" s="166">
        <v>3807</v>
      </c>
      <c r="L18" s="166">
        <v>4617</v>
      </c>
    </row>
    <row r="19" spans="1:12">
      <c r="A19" s="150" t="s">
        <v>533</v>
      </c>
      <c r="B19" s="150">
        <v>180</v>
      </c>
      <c r="C19" s="207">
        <f t="shared" si="0"/>
        <v>118.96893588896233</v>
      </c>
      <c r="D19" s="207">
        <f>(C19*1.42)</f>
        <v>168.93588896232652</v>
      </c>
      <c r="E19" s="150" t="s">
        <v>532</v>
      </c>
      <c r="F19" s="150"/>
      <c r="G19" s="244" t="s">
        <v>484</v>
      </c>
      <c r="H19" s="166" t="s">
        <v>804</v>
      </c>
      <c r="I19" s="166">
        <v>8284</v>
      </c>
      <c r="J19" s="166">
        <v>5523</v>
      </c>
      <c r="K19" s="166">
        <v>3945</v>
      </c>
      <c r="L19" s="166">
        <v>4664</v>
      </c>
    </row>
    <row r="20" spans="1:12" ht="25.5">
      <c r="A20" s="150" t="s">
        <v>779</v>
      </c>
      <c r="B20" s="150">
        <v>605</v>
      </c>
      <c r="C20" s="207">
        <f t="shared" si="0"/>
        <v>399.86781229345672</v>
      </c>
      <c r="D20" s="207">
        <f>(C20*1.42)</f>
        <v>567.81229345670852</v>
      </c>
      <c r="E20" s="150" t="s">
        <v>532</v>
      </c>
      <c r="F20" s="150"/>
      <c r="G20" s="244" t="s">
        <v>485</v>
      </c>
      <c r="H20" s="166" t="s">
        <v>805</v>
      </c>
      <c r="I20" s="166">
        <v>8448</v>
      </c>
      <c r="J20" s="166">
        <v>5632</v>
      </c>
      <c r="K20" s="166">
        <v>4023</v>
      </c>
      <c r="L20" s="166">
        <v>4672</v>
      </c>
    </row>
    <row r="21" spans="1:12" ht="42.75" customHeight="1">
      <c r="A21" s="150" t="s">
        <v>780</v>
      </c>
      <c r="B21" s="150">
        <v>1002</v>
      </c>
      <c r="C21" s="207">
        <f t="shared" si="0"/>
        <v>662.2604097818903</v>
      </c>
      <c r="D21" s="207">
        <f>(C21*1.42)</f>
        <v>940.40978189028419</v>
      </c>
      <c r="E21" s="150" t="s">
        <v>532</v>
      </c>
      <c r="F21" s="150"/>
      <c r="G21" s="244" t="s">
        <v>730</v>
      </c>
      <c r="H21" s="155" t="s">
        <v>228</v>
      </c>
      <c r="I21">
        <f>SUM(I16:I20)/5</f>
        <v>8017.2</v>
      </c>
      <c r="L21">
        <f>SUM(L16:L20)/5</f>
        <v>4634</v>
      </c>
    </row>
    <row r="22" spans="1:12" ht="45">
      <c r="A22" s="212" t="s">
        <v>1143</v>
      </c>
      <c r="B22" s="212"/>
      <c r="C22" s="213"/>
      <c r="D22" s="213">
        <v>2911</v>
      </c>
      <c r="E22" s="212" t="s">
        <v>1145</v>
      </c>
      <c r="F22" s="245" t="s">
        <v>917</v>
      </c>
      <c r="G22" s="246" t="s">
        <v>958</v>
      </c>
      <c r="H22" s="155"/>
    </row>
    <row r="23" spans="1:12" ht="33.75">
      <c r="A23" s="212" t="s">
        <v>1144</v>
      </c>
      <c r="B23" s="212"/>
      <c r="C23" s="213"/>
      <c r="D23" s="213">
        <v>500</v>
      </c>
      <c r="E23" s="212" t="s">
        <v>1145</v>
      </c>
      <c r="F23" s="245" t="s">
        <v>1142</v>
      </c>
      <c r="G23" s="245" t="s">
        <v>959</v>
      </c>
      <c r="H23" s="155"/>
    </row>
    <row r="24" spans="1:12">
      <c r="A24" s="150" t="s">
        <v>781</v>
      </c>
      <c r="B24" s="210">
        <v>22440000</v>
      </c>
      <c r="C24" s="211">
        <f t="shared" si="0"/>
        <v>14831460.674157305</v>
      </c>
      <c r="D24" s="210">
        <f t="shared" ref="D24:D31" si="2">(C24*1.42)</f>
        <v>21060674.157303371</v>
      </c>
      <c r="E24" s="150" t="s">
        <v>782</v>
      </c>
      <c r="F24" s="150"/>
      <c r="G24" s="150"/>
      <c r="H24" s="155"/>
    </row>
    <row r="25" spans="1:12">
      <c r="A25" s="150" t="s">
        <v>783</v>
      </c>
      <c r="B25" s="210">
        <v>82704000</v>
      </c>
      <c r="C25" s="210">
        <f t="shared" si="0"/>
        <v>54662260.409781896</v>
      </c>
      <c r="D25" s="210">
        <f t="shared" si="2"/>
        <v>77620409.781890288</v>
      </c>
      <c r="E25" s="150" t="s">
        <v>782</v>
      </c>
      <c r="F25" s="150"/>
      <c r="G25" s="150"/>
      <c r="H25" s="155"/>
    </row>
    <row r="26" spans="1:12">
      <c r="A26" s="150" t="s">
        <v>784</v>
      </c>
      <c r="B26" s="210">
        <v>94627000</v>
      </c>
      <c r="C26" s="210">
        <f t="shared" si="0"/>
        <v>62542630.535360217</v>
      </c>
      <c r="D26" s="210">
        <f t="shared" si="2"/>
        <v>88810535.360211506</v>
      </c>
      <c r="E26" s="150" t="s">
        <v>782</v>
      </c>
      <c r="F26" s="150"/>
      <c r="G26" s="150"/>
      <c r="H26" s="155"/>
    </row>
    <row r="27" spans="1:12">
      <c r="A27" s="150" t="s">
        <v>785</v>
      </c>
      <c r="B27" s="210">
        <v>5000000</v>
      </c>
      <c r="C27" s="210">
        <f t="shared" si="0"/>
        <v>3304692.6635822873</v>
      </c>
      <c r="D27" s="210">
        <f t="shared" si="2"/>
        <v>4692663.5822868478</v>
      </c>
      <c r="E27" s="150" t="s">
        <v>782</v>
      </c>
      <c r="F27" s="150"/>
      <c r="G27" s="150"/>
      <c r="H27" s="155"/>
    </row>
    <row r="28" spans="1:12" ht="22.5">
      <c r="A28" s="150" t="s">
        <v>786</v>
      </c>
      <c r="B28" s="210">
        <v>1000000</v>
      </c>
      <c r="C28" s="210">
        <f t="shared" si="0"/>
        <v>660938.53271645738</v>
      </c>
      <c r="D28" s="210">
        <f t="shared" si="2"/>
        <v>938532.71645736939</v>
      </c>
      <c r="E28" s="150" t="s">
        <v>782</v>
      </c>
      <c r="F28" s="150"/>
      <c r="G28" s="244" t="s">
        <v>610</v>
      </c>
      <c r="H28" s="155"/>
    </row>
    <row r="29" spans="1:12" ht="22.5">
      <c r="A29" s="150" t="s">
        <v>762</v>
      </c>
      <c r="B29" s="210">
        <v>12575000</v>
      </c>
      <c r="C29" s="210">
        <f t="shared" si="0"/>
        <v>8311302.0489094518</v>
      </c>
      <c r="D29" s="210">
        <f t="shared" si="2"/>
        <v>11802048.909451421</v>
      </c>
      <c r="E29" s="150" t="s">
        <v>763</v>
      </c>
      <c r="F29" s="150"/>
      <c r="G29" s="244" t="s">
        <v>837</v>
      </c>
      <c r="H29" s="155"/>
    </row>
    <row r="30" spans="1:12">
      <c r="A30" s="150" t="s">
        <v>660</v>
      </c>
      <c r="B30" s="210">
        <v>500000</v>
      </c>
      <c r="C30" s="210">
        <f t="shared" si="0"/>
        <v>330469.26635822869</v>
      </c>
      <c r="D30" s="210">
        <f t="shared" si="2"/>
        <v>469266.35822868469</v>
      </c>
      <c r="E30" s="150" t="s">
        <v>661</v>
      </c>
      <c r="F30" s="150"/>
      <c r="G30" s="244"/>
      <c r="H30" s="155"/>
    </row>
    <row r="31" spans="1:12" ht="22.5">
      <c r="A31" s="150" t="s">
        <v>662</v>
      </c>
      <c r="B31" s="150">
        <v>100</v>
      </c>
      <c r="C31" s="221">
        <f t="shared" si="0"/>
        <v>66.093853271645742</v>
      </c>
      <c r="D31" s="207">
        <f t="shared" si="2"/>
        <v>93.853271645736953</v>
      </c>
      <c r="E31" s="150" t="s">
        <v>663</v>
      </c>
      <c r="F31" s="150"/>
      <c r="G31" s="244" t="s">
        <v>838</v>
      </c>
      <c r="H31" s="155"/>
    </row>
    <row r="32" spans="1:12">
      <c r="A32" s="230" t="s">
        <v>839</v>
      </c>
      <c r="B32" s="230">
        <v>450</v>
      </c>
      <c r="C32" s="247" t="s">
        <v>840</v>
      </c>
      <c r="D32" s="148"/>
      <c r="E32" s="148"/>
      <c r="F32" s="148"/>
      <c r="G32" s="148"/>
      <c r="H32" s="155"/>
    </row>
    <row r="33" spans="1:12" ht="22.5">
      <c r="A33" s="230" t="s">
        <v>841</v>
      </c>
      <c r="B33" s="230">
        <v>36</v>
      </c>
      <c r="C33" s="247" t="s">
        <v>842</v>
      </c>
      <c r="D33" s="148"/>
      <c r="E33" s="148"/>
      <c r="F33" s="148"/>
      <c r="G33" s="148"/>
      <c r="H33" s="155"/>
    </row>
    <row r="34" spans="1:12" ht="22.5">
      <c r="A34" s="230" t="s">
        <v>843</v>
      </c>
      <c r="B34" s="230">
        <v>222</v>
      </c>
      <c r="C34" s="247" t="s">
        <v>844</v>
      </c>
      <c r="D34" s="148"/>
      <c r="E34" s="148"/>
      <c r="F34" s="148"/>
      <c r="G34" s="148"/>
      <c r="H34" s="155"/>
    </row>
    <row r="35" spans="1:12" ht="25.5">
      <c r="A35" s="148"/>
      <c r="B35" s="148"/>
      <c r="C35" s="205"/>
      <c r="D35" s="148"/>
      <c r="E35" s="148"/>
      <c r="F35" s="148"/>
      <c r="G35" s="148"/>
      <c r="H35" s="166"/>
      <c r="I35" s="150" t="s">
        <v>1048</v>
      </c>
      <c r="J35" s="150" t="s">
        <v>1049</v>
      </c>
      <c r="K35" s="150" t="s">
        <v>1050</v>
      </c>
      <c r="L35" s="150" t="s">
        <v>87</v>
      </c>
    </row>
    <row r="36" spans="1:12">
      <c r="A36" s="315" t="s">
        <v>1076</v>
      </c>
      <c r="B36" s="148"/>
      <c r="C36" s="205"/>
      <c r="D36" s="148"/>
      <c r="E36" s="148"/>
      <c r="F36" s="148"/>
      <c r="G36" s="148"/>
      <c r="H36" s="166" t="s">
        <v>806</v>
      </c>
      <c r="I36" s="166">
        <v>7552</v>
      </c>
      <c r="J36" s="166">
        <v>5035</v>
      </c>
      <c r="K36" s="166">
        <v>3596</v>
      </c>
      <c r="L36" s="166">
        <v>4580</v>
      </c>
    </row>
    <row r="37" spans="1:12">
      <c r="A37" s="150" t="s">
        <v>134</v>
      </c>
      <c r="B37" s="150" t="s">
        <v>135</v>
      </c>
      <c r="C37" s="170" t="s">
        <v>136</v>
      </c>
      <c r="D37" s="150" t="s">
        <v>866</v>
      </c>
      <c r="E37" s="150" t="s">
        <v>1007</v>
      </c>
      <c r="F37" s="150" t="s">
        <v>1007</v>
      </c>
      <c r="G37" s="148"/>
      <c r="H37" s="166" t="s">
        <v>931</v>
      </c>
      <c r="I37" s="166">
        <v>7777</v>
      </c>
      <c r="J37" s="166">
        <v>5185</v>
      </c>
      <c r="K37" s="166">
        <v>3703</v>
      </c>
      <c r="L37" s="166">
        <v>4615</v>
      </c>
    </row>
    <row r="38" spans="1:12" ht="38.25">
      <c r="A38" s="150" t="s">
        <v>137</v>
      </c>
      <c r="B38" s="150">
        <v>5500</v>
      </c>
      <c r="C38" s="229">
        <v>8000</v>
      </c>
      <c r="D38" s="150" t="s">
        <v>720</v>
      </c>
      <c r="E38" s="150">
        <v>37500</v>
      </c>
      <c r="F38" s="150">
        <f>(37500-7000)</f>
        <v>30500</v>
      </c>
      <c r="G38" s="148"/>
      <c r="H38" s="166" t="s">
        <v>932</v>
      </c>
      <c r="I38" s="166">
        <v>7984</v>
      </c>
      <c r="J38" s="166">
        <v>5323</v>
      </c>
      <c r="K38" s="166">
        <v>3802</v>
      </c>
      <c r="L38" s="166">
        <v>4627</v>
      </c>
    </row>
    <row r="39" spans="1:12" ht="25.5">
      <c r="A39" s="150" t="s">
        <v>138</v>
      </c>
      <c r="B39" s="150">
        <v>200</v>
      </c>
      <c r="C39" s="229">
        <v>1000</v>
      </c>
      <c r="D39" s="150" t="s">
        <v>825</v>
      </c>
      <c r="E39" s="150">
        <v>37500</v>
      </c>
      <c r="F39" s="150">
        <f>(37500-7000)</f>
        <v>30500</v>
      </c>
      <c r="G39" s="148"/>
      <c r="H39" s="166" t="s">
        <v>933</v>
      </c>
      <c r="I39" s="166">
        <v>8197</v>
      </c>
      <c r="J39" s="166">
        <v>5465</v>
      </c>
      <c r="K39" s="166">
        <v>3903</v>
      </c>
      <c r="L39" s="166">
        <v>4639</v>
      </c>
    </row>
    <row r="40" spans="1:12" ht="38.25">
      <c r="A40" s="150" t="s">
        <v>848</v>
      </c>
      <c r="B40" s="150">
        <v>1735</v>
      </c>
      <c r="C40" s="229">
        <v>2911</v>
      </c>
      <c r="D40" s="150" t="s">
        <v>714</v>
      </c>
      <c r="E40" s="150">
        <v>19.5</v>
      </c>
      <c r="F40" s="150"/>
      <c r="G40" s="148"/>
      <c r="H40" s="166" t="s">
        <v>934</v>
      </c>
      <c r="I40" s="166">
        <v>8418</v>
      </c>
      <c r="J40" s="166">
        <v>5612</v>
      </c>
      <c r="K40" s="166">
        <v>4009</v>
      </c>
      <c r="L40" s="166">
        <v>4651</v>
      </c>
    </row>
    <row r="41" spans="1:12">
      <c r="A41" s="150" t="s">
        <v>139</v>
      </c>
      <c r="B41" s="150">
        <v>25</v>
      </c>
      <c r="C41" s="229">
        <v>38</v>
      </c>
      <c r="D41" s="150" t="s">
        <v>1072</v>
      </c>
      <c r="E41" s="210">
        <v>450000</v>
      </c>
      <c r="F41" s="150"/>
      <c r="G41" s="148"/>
      <c r="H41" s="155" t="s">
        <v>228</v>
      </c>
      <c r="I41">
        <f>SUM(I36:I40)/5</f>
        <v>7985.6</v>
      </c>
      <c r="L41">
        <f>SUM(L36:L40)/5</f>
        <v>4622.3999999999996</v>
      </c>
    </row>
    <row r="42" spans="1:12" ht="25.5">
      <c r="A42" s="150" t="s">
        <v>1070</v>
      </c>
      <c r="B42" s="150">
        <v>200</v>
      </c>
      <c r="C42" s="229">
        <v>400</v>
      </c>
      <c r="D42" s="150" t="s">
        <v>1074</v>
      </c>
      <c r="E42" s="150">
        <f>(E41/8)</f>
        <v>56250</v>
      </c>
      <c r="F42" s="150"/>
      <c r="G42" s="148"/>
      <c r="H42" s="155"/>
    </row>
    <row r="43" spans="1:12" ht="25.5">
      <c r="A43" s="150" t="s">
        <v>849</v>
      </c>
      <c r="B43" s="150">
        <v>300</v>
      </c>
      <c r="C43" s="229">
        <v>700</v>
      </c>
      <c r="D43" s="150" t="s">
        <v>715</v>
      </c>
      <c r="E43" s="150">
        <v>0.25</v>
      </c>
      <c r="F43" s="150"/>
      <c r="G43" s="148"/>
      <c r="H43" s="155"/>
    </row>
    <row r="44" spans="1:12" ht="25.5">
      <c r="A44" s="150" t="s">
        <v>140</v>
      </c>
      <c r="B44" s="150">
        <v>5750</v>
      </c>
      <c r="C44" s="229">
        <v>25000</v>
      </c>
      <c r="D44" s="150" t="s">
        <v>716</v>
      </c>
      <c r="E44" s="150">
        <v>8400</v>
      </c>
      <c r="F44" s="150">
        <v>7650</v>
      </c>
      <c r="G44" s="148"/>
      <c r="H44" s="155"/>
    </row>
    <row r="45" spans="1:12" ht="18" customHeight="1">
      <c r="A45" s="150" t="s">
        <v>141</v>
      </c>
      <c r="B45" s="150">
        <v>5500</v>
      </c>
      <c r="C45" s="229">
        <v>8000</v>
      </c>
      <c r="D45" s="150" t="s">
        <v>1073</v>
      </c>
      <c r="E45" s="150">
        <f>(E44-F44)</f>
        <v>750</v>
      </c>
      <c r="F45" s="150"/>
      <c r="G45" s="148"/>
      <c r="H45" s="155"/>
    </row>
    <row r="46" spans="1:12" ht="25.5">
      <c r="A46" s="150" t="s">
        <v>1071</v>
      </c>
      <c r="B46" s="150">
        <v>200</v>
      </c>
      <c r="C46" s="229">
        <v>5500</v>
      </c>
      <c r="D46" s="150" t="s">
        <v>1075</v>
      </c>
      <c r="E46" s="150">
        <v>8400</v>
      </c>
      <c r="F46" s="150"/>
      <c r="G46" s="148"/>
      <c r="H46" s="155"/>
    </row>
    <row r="47" spans="1:12" ht="25.5">
      <c r="A47" s="150" t="s">
        <v>864</v>
      </c>
      <c r="B47" s="210">
        <v>29000</v>
      </c>
      <c r="C47" s="229">
        <v>65000</v>
      </c>
      <c r="D47" s="150" t="s">
        <v>717</v>
      </c>
      <c r="E47" s="150">
        <v>21.5</v>
      </c>
      <c r="F47" s="150"/>
      <c r="G47" s="47"/>
    </row>
    <row r="48" spans="1:12">
      <c r="A48" s="150" t="s">
        <v>1069</v>
      </c>
      <c r="B48" s="210">
        <f>145000000/1000</f>
        <v>145000</v>
      </c>
      <c r="C48" s="229"/>
      <c r="D48" s="150" t="s">
        <v>508</v>
      </c>
      <c r="E48" s="150"/>
      <c r="F48" s="150"/>
      <c r="G48" s="47"/>
    </row>
    <row r="49" spans="1:11">
      <c r="A49" s="150" t="s">
        <v>1175</v>
      </c>
      <c r="B49" s="210">
        <f>632000000/1000</f>
        <v>632000</v>
      </c>
      <c r="C49" s="229">
        <v>522000</v>
      </c>
      <c r="D49" s="150" t="s">
        <v>508</v>
      </c>
      <c r="E49" s="150"/>
      <c r="F49" s="150"/>
      <c r="G49" s="47"/>
    </row>
    <row r="50" spans="1:11">
      <c r="A50" s="150" t="s">
        <v>1184</v>
      </c>
      <c r="B50" s="210">
        <f>102000000/1000</f>
        <v>102000</v>
      </c>
      <c r="C50" s="229"/>
      <c r="D50" s="150" t="s">
        <v>508</v>
      </c>
      <c r="E50" s="150"/>
      <c r="F50" s="150"/>
      <c r="G50" s="47"/>
    </row>
    <row r="51" spans="1:11" ht="38.25">
      <c r="A51" s="150" t="s">
        <v>1185</v>
      </c>
      <c r="B51" s="210">
        <v>375</v>
      </c>
      <c r="C51" s="229">
        <v>385</v>
      </c>
      <c r="D51" s="150" t="s">
        <v>952</v>
      </c>
      <c r="E51" s="150"/>
      <c r="F51" s="150"/>
      <c r="G51" s="47"/>
    </row>
    <row r="52" spans="1:11" ht="38.25">
      <c r="A52" s="150" t="s">
        <v>865</v>
      </c>
      <c r="B52" s="210">
        <v>563</v>
      </c>
      <c r="C52" s="229">
        <v>570</v>
      </c>
      <c r="D52" s="150" t="s">
        <v>718</v>
      </c>
      <c r="E52" s="150"/>
      <c r="F52" s="150"/>
      <c r="G52" s="47"/>
    </row>
    <row r="53" spans="1:11" ht="25.5">
      <c r="A53" s="150" t="s">
        <v>953</v>
      </c>
      <c r="B53" s="150">
        <v>8.1</v>
      </c>
      <c r="C53" s="150">
        <v>4.8</v>
      </c>
      <c r="D53" s="150" t="s">
        <v>719</v>
      </c>
      <c r="E53" s="150"/>
      <c r="F53" s="150"/>
      <c r="G53" s="47"/>
    </row>
    <row r="54" spans="1:11" ht="25.5">
      <c r="A54" s="315" t="s">
        <v>286</v>
      </c>
      <c r="D54" s="148"/>
      <c r="E54" s="148"/>
      <c r="F54" s="148"/>
      <c r="G54" s="47"/>
    </row>
    <row r="55" spans="1:11" ht="25.5">
      <c r="A55" s="150"/>
      <c r="B55" s="150" t="s">
        <v>1198</v>
      </c>
      <c r="C55" s="150" t="s">
        <v>1197</v>
      </c>
      <c r="D55" s="150" t="s">
        <v>1200</v>
      </c>
      <c r="E55" s="150" t="s">
        <v>1201</v>
      </c>
      <c r="F55" s="148"/>
      <c r="G55" s="133"/>
      <c r="H55" s="133"/>
      <c r="I55" s="133"/>
      <c r="J55" s="133"/>
      <c r="K55" s="133"/>
    </row>
    <row r="56" spans="1:11">
      <c r="A56" s="150" t="s">
        <v>134</v>
      </c>
      <c r="B56" s="150" t="s">
        <v>1202</v>
      </c>
      <c r="C56" s="150" t="s">
        <v>1202</v>
      </c>
      <c r="D56" s="150" t="s">
        <v>1202</v>
      </c>
      <c r="E56" s="150" t="s">
        <v>1202</v>
      </c>
      <c r="F56" s="148"/>
      <c r="G56" s="133"/>
      <c r="H56" s="133"/>
      <c r="I56" s="133"/>
      <c r="J56" s="133"/>
      <c r="K56" s="133"/>
    </row>
    <row r="57" spans="1:11">
      <c r="A57" s="150" t="s">
        <v>1199</v>
      </c>
      <c r="B57" s="226">
        <v>0</v>
      </c>
      <c r="C57" s="226">
        <v>0</v>
      </c>
      <c r="D57" s="226">
        <f>(E41*B41)/1000000</f>
        <v>11.25</v>
      </c>
      <c r="E57" s="226">
        <f>(E41*C41)/1000000</f>
        <v>17.100000000000001</v>
      </c>
      <c r="F57" s="148"/>
      <c r="G57" s="133"/>
      <c r="H57" s="223"/>
      <c r="I57" s="223"/>
      <c r="J57" s="223"/>
      <c r="K57" s="223"/>
    </row>
    <row r="58" spans="1:11">
      <c r="A58" s="150" t="s">
        <v>1203</v>
      </c>
      <c r="B58" s="226">
        <v>0</v>
      </c>
      <c r="C58" s="226">
        <v>0</v>
      </c>
      <c r="D58" s="226">
        <f>($E$42*$B$42)/1000000</f>
        <v>11.25</v>
      </c>
      <c r="E58" s="226">
        <f>($E$42*$C$42)/1000000</f>
        <v>22.5</v>
      </c>
      <c r="F58" s="148"/>
      <c r="G58" s="133"/>
      <c r="H58" s="223"/>
      <c r="I58" s="223"/>
      <c r="J58" s="223"/>
      <c r="K58" s="223"/>
    </row>
    <row r="59" spans="1:11">
      <c r="A59" s="150" t="s">
        <v>770</v>
      </c>
      <c r="B59" s="226">
        <v>0</v>
      </c>
      <c r="C59" s="226">
        <v>0</v>
      </c>
      <c r="D59" s="226">
        <f>(E41*E43*B43)/1000000</f>
        <v>33.75</v>
      </c>
      <c r="E59" s="226">
        <f>(E41*E43*C43)/1000000</f>
        <v>78.75</v>
      </c>
      <c r="F59" s="148"/>
      <c r="G59" s="133"/>
      <c r="H59" s="223"/>
      <c r="I59" s="223"/>
      <c r="J59" s="223"/>
      <c r="K59" s="223"/>
    </row>
    <row r="60" spans="1:11">
      <c r="A60" s="150" t="s">
        <v>1008</v>
      </c>
      <c r="B60" s="226">
        <v>0</v>
      </c>
      <c r="C60" s="226">
        <v>0</v>
      </c>
      <c r="D60" s="226">
        <f>($E$42*$B$42)/1000000</f>
        <v>11.25</v>
      </c>
      <c r="E60" s="226">
        <f>($E$42*$C$42)/1000000</f>
        <v>22.5</v>
      </c>
      <c r="F60" s="148"/>
      <c r="G60" s="133"/>
      <c r="H60" s="223"/>
      <c r="I60" s="223"/>
      <c r="J60" s="223"/>
      <c r="K60" s="223"/>
    </row>
    <row r="61" spans="1:11">
      <c r="A61" s="150" t="s">
        <v>1186</v>
      </c>
      <c r="B61" s="226">
        <f>($B$48*$B$51)/1000000</f>
        <v>54.375</v>
      </c>
      <c r="C61" s="226">
        <f>($B$48*$C$51)/1000000</f>
        <v>55.825000000000003</v>
      </c>
      <c r="D61" s="226">
        <f>($B$48*$B$51)/1000000</f>
        <v>54.375</v>
      </c>
      <c r="E61" s="226">
        <f>($B$48*$C$51)/1000000</f>
        <v>55.825000000000003</v>
      </c>
      <c r="F61" s="148"/>
      <c r="G61" s="133"/>
      <c r="H61" s="223"/>
      <c r="I61" s="223"/>
      <c r="J61" s="223"/>
      <c r="K61" s="223"/>
    </row>
    <row r="62" spans="1:11">
      <c r="A62" s="150" t="s">
        <v>1067</v>
      </c>
      <c r="B62" s="226">
        <v>0</v>
      </c>
      <c r="C62" s="226">
        <v>0</v>
      </c>
      <c r="D62" s="226">
        <v>0</v>
      </c>
      <c r="E62" s="226">
        <v>0</v>
      </c>
      <c r="F62" s="148"/>
      <c r="G62" s="133"/>
      <c r="H62" s="223"/>
      <c r="I62" s="223"/>
      <c r="J62" s="223"/>
      <c r="K62" s="223"/>
    </row>
    <row r="63" spans="1:11">
      <c r="A63" s="231" t="s">
        <v>1010</v>
      </c>
      <c r="B63" s="232">
        <f>SUM(B57:B62)</f>
        <v>54.375</v>
      </c>
      <c r="C63" s="232">
        <f>SUM(C57:C62)</f>
        <v>55.825000000000003</v>
      </c>
      <c r="D63" s="232">
        <f>SUM(D57:D62)</f>
        <v>121.875</v>
      </c>
      <c r="E63" s="232">
        <f>SUM(E57:E62)</f>
        <v>196.67500000000001</v>
      </c>
      <c r="F63" s="148"/>
      <c r="G63" s="133"/>
      <c r="H63" s="224"/>
      <c r="I63" s="224"/>
      <c r="J63" s="224"/>
      <c r="K63" s="224"/>
    </row>
    <row r="64" spans="1:11">
      <c r="A64" s="150" t="s">
        <v>1195</v>
      </c>
      <c r="B64" s="225">
        <f>(E38*B38)/1000000</f>
        <v>206.25</v>
      </c>
      <c r="C64" s="225">
        <f>(E38*C38)/1000000</f>
        <v>300</v>
      </c>
      <c r="D64" s="225">
        <f>(F38*B38)/1000000</f>
        <v>167.75</v>
      </c>
      <c r="E64" s="225">
        <f>(F38*C38)/1000000</f>
        <v>244</v>
      </c>
      <c r="F64" s="148"/>
      <c r="G64" s="133"/>
      <c r="H64" s="223"/>
      <c r="I64" s="223"/>
      <c r="J64" s="223"/>
      <c r="K64" s="223"/>
    </row>
    <row r="65" spans="1:11">
      <c r="A65" s="150" t="s">
        <v>1196</v>
      </c>
      <c r="B65" s="226">
        <f>($E$39*$B$39)/1000000</f>
        <v>7.5</v>
      </c>
      <c r="C65" s="226">
        <f>($E$39*$C$39)/1000000</f>
        <v>37.5</v>
      </c>
      <c r="D65" s="226">
        <f>($B$39*$F$39)/1000000</f>
        <v>6.1</v>
      </c>
      <c r="E65" s="226">
        <f>($F$39*$C$39)/1000000</f>
        <v>30.5</v>
      </c>
      <c r="F65" s="155"/>
      <c r="G65" s="133"/>
      <c r="H65" s="223"/>
      <c r="I65" s="223"/>
      <c r="J65" s="223"/>
      <c r="K65" s="223"/>
    </row>
    <row r="66" spans="1:11">
      <c r="A66" s="150" t="s">
        <v>1158</v>
      </c>
      <c r="B66" s="226">
        <f>(E38*E40*B40)/1000000</f>
        <v>1268.71875</v>
      </c>
      <c r="C66" s="226">
        <f>(E38*E40*C40)/1000000</f>
        <v>2128.6687499999998</v>
      </c>
      <c r="D66" s="226">
        <f>(F38*E40*B40)/1000000</f>
        <v>1031.8912499999999</v>
      </c>
      <c r="E66" s="226">
        <f>(F38*E40*C40)/1000000</f>
        <v>1731.3172500000001</v>
      </c>
      <c r="F66" s="155"/>
      <c r="G66" s="133"/>
      <c r="H66" s="223"/>
      <c r="I66" s="223"/>
      <c r="J66" s="223"/>
      <c r="K66" s="223"/>
    </row>
    <row r="67" spans="1:11">
      <c r="A67" s="150" t="s">
        <v>824</v>
      </c>
      <c r="B67" s="226">
        <f>((B53/100)*B66)</f>
        <v>102.76621875000001</v>
      </c>
      <c r="C67" s="226">
        <f>(C53/100)*C66</f>
        <v>102.17609999999999</v>
      </c>
      <c r="D67" s="226">
        <f>(B53/100)*D66</f>
        <v>83.583191249999999</v>
      </c>
      <c r="E67" s="226">
        <f>(C53/100)*E66</f>
        <v>83.103228000000001</v>
      </c>
      <c r="F67" s="155"/>
      <c r="G67" s="133"/>
      <c r="H67" s="223"/>
      <c r="I67" s="223"/>
      <c r="J67" s="223"/>
      <c r="K67" s="223"/>
    </row>
    <row r="68" spans="1:11">
      <c r="A68" s="150" t="s">
        <v>44</v>
      </c>
      <c r="B68" s="226">
        <f>($E$39*$B$39)/1000000</f>
        <v>7.5</v>
      </c>
      <c r="C68" s="226">
        <f>($E$39*$C$39)/1000000</f>
        <v>37.5</v>
      </c>
      <c r="D68" s="226">
        <f>($B$39*$F$39)/1000000</f>
        <v>6.1</v>
      </c>
      <c r="E68" s="226">
        <f>($F$39*$C$39)/1000000</f>
        <v>30.5</v>
      </c>
      <c r="F68" s="155"/>
      <c r="G68" s="133"/>
      <c r="H68" s="223"/>
      <c r="I68" s="223"/>
      <c r="J68" s="223"/>
      <c r="K68" s="223"/>
    </row>
    <row r="69" spans="1:11">
      <c r="A69" s="150" t="s">
        <v>1065</v>
      </c>
      <c r="B69" s="226">
        <f>($B$49*$B$51)/1000000</f>
        <v>237</v>
      </c>
      <c r="C69" s="226">
        <f>($B$49*$C$51)/1000000</f>
        <v>243.32</v>
      </c>
      <c r="D69" s="226">
        <f>($B$49*$B$51)/1000000</f>
        <v>237</v>
      </c>
      <c r="E69" s="226">
        <f>($B$49*$C$51)/1000000</f>
        <v>243.32</v>
      </c>
      <c r="F69" s="155"/>
      <c r="G69" s="236"/>
      <c r="H69" s="237"/>
      <c r="I69" s="237"/>
      <c r="J69" s="237"/>
      <c r="K69" s="237"/>
    </row>
    <row r="70" spans="1:11">
      <c r="A70" s="227" t="s">
        <v>1171</v>
      </c>
      <c r="B70" s="228">
        <f>($C$49*$B$52)/1000000</f>
        <v>293.88600000000002</v>
      </c>
      <c r="C70" s="228">
        <f>($C$49*$C$52)/1000000</f>
        <v>297.54000000000002</v>
      </c>
      <c r="D70" s="228">
        <f>($C$49*$B$52)/1000000</f>
        <v>293.88600000000002</v>
      </c>
      <c r="E70" s="228">
        <f>($C$49*$C$52)/1000000</f>
        <v>297.54000000000002</v>
      </c>
      <c r="F70" s="155"/>
      <c r="G70" s="133"/>
      <c r="H70" s="223"/>
      <c r="I70" s="223"/>
      <c r="J70" s="223"/>
      <c r="K70" s="223"/>
    </row>
    <row r="71" spans="1:11">
      <c r="A71" s="231" t="s">
        <v>1011</v>
      </c>
      <c r="B71" s="232">
        <f>SUM(B64:B70)*0.81</f>
        <v>1720.1329846875001</v>
      </c>
      <c r="C71" s="232">
        <f>SUM(C64:C70)*0.81</f>
        <v>2548.8309285</v>
      </c>
      <c r="D71" s="232">
        <f>SUM(D64:D70)*0.81</f>
        <v>1479.3114574125</v>
      </c>
      <c r="E71" s="232">
        <f>SUM(E64:E70)*0.81</f>
        <v>2154.8271871800002</v>
      </c>
      <c r="F71" s="155"/>
      <c r="G71" s="133"/>
      <c r="H71" s="223"/>
      <c r="I71" s="223"/>
      <c r="J71" s="223"/>
      <c r="K71" s="223"/>
    </row>
    <row r="72" spans="1:11">
      <c r="A72" s="231" t="s">
        <v>1012</v>
      </c>
      <c r="B72" s="232">
        <f>SUM(B64:B70)*0.19</f>
        <v>403.4879840625</v>
      </c>
      <c r="C72" s="232">
        <f>SUM(C64:C70)*0.19</f>
        <v>597.87392150000005</v>
      </c>
      <c r="D72" s="232">
        <f>SUM(D64:D70)*0.19*0</f>
        <v>0</v>
      </c>
      <c r="E72" s="232">
        <f>SUM(E64:E70)*0.19*0</f>
        <v>0</v>
      </c>
      <c r="F72" s="155"/>
      <c r="G72" s="133"/>
      <c r="H72" s="223"/>
      <c r="I72" s="223"/>
      <c r="J72" s="223"/>
      <c r="K72" s="223"/>
    </row>
    <row r="73" spans="1:11">
      <c r="A73" s="150" t="s">
        <v>1204</v>
      </c>
      <c r="B73" s="226">
        <f>(E44*B44)/1000000</f>
        <v>48.3</v>
      </c>
      <c r="C73" s="226">
        <f>(E44*C44)/1000000</f>
        <v>210</v>
      </c>
      <c r="D73" s="226">
        <f>(F44*B44)/1000000</f>
        <v>43.987499999999997</v>
      </c>
      <c r="E73" s="226">
        <f>(F44*C44)/1000000</f>
        <v>191.25</v>
      </c>
      <c r="F73" s="155"/>
      <c r="G73" s="133"/>
      <c r="H73" s="223"/>
      <c r="I73" s="223"/>
      <c r="J73" s="223"/>
      <c r="K73" s="223"/>
    </row>
    <row r="74" spans="1:11">
      <c r="A74" s="150" t="s">
        <v>1206</v>
      </c>
      <c r="B74" s="226">
        <f>(E46*B46)/1000000</f>
        <v>1.68</v>
      </c>
      <c r="C74" s="226">
        <f>(E46*B46)/1000000</f>
        <v>1.68</v>
      </c>
      <c r="D74" s="226">
        <f>(F44*B46)/1000000</f>
        <v>1.53</v>
      </c>
      <c r="E74" s="226">
        <f>(F44*B46)/1000000</f>
        <v>1.53</v>
      </c>
      <c r="F74" s="155"/>
      <c r="G74" s="133"/>
      <c r="H74" s="223"/>
      <c r="I74" s="223"/>
      <c r="J74" s="223"/>
      <c r="K74" s="223"/>
    </row>
    <row r="75" spans="1:11">
      <c r="A75" s="150" t="s">
        <v>1205</v>
      </c>
      <c r="B75" s="226">
        <v>0</v>
      </c>
      <c r="C75" s="226">
        <v>0</v>
      </c>
      <c r="D75" s="226">
        <f>(E45*B45)/1000000</f>
        <v>4.125</v>
      </c>
      <c r="E75" s="226">
        <f>(E45*C45)/1000000</f>
        <v>6</v>
      </c>
      <c r="F75" s="155"/>
      <c r="G75" s="133"/>
      <c r="H75" s="223"/>
      <c r="I75" s="223"/>
      <c r="J75" s="223"/>
      <c r="K75" s="223"/>
    </row>
    <row r="76" spans="1:11">
      <c r="A76" s="150" t="s">
        <v>1207</v>
      </c>
      <c r="B76" s="226">
        <f>((E45*B46)/1000000)*0</f>
        <v>0</v>
      </c>
      <c r="C76" s="226">
        <f>(E45*B46)/1000000*0</f>
        <v>0</v>
      </c>
      <c r="D76" s="226">
        <f>(E45*B46)/1000000</f>
        <v>0.15</v>
      </c>
      <c r="E76" s="226">
        <f>(E45*B46)/1000000</f>
        <v>0.15</v>
      </c>
      <c r="F76" s="155"/>
      <c r="G76" s="133"/>
      <c r="H76" s="223"/>
      <c r="I76" s="223"/>
      <c r="J76" s="223"/>
      <c r="K76" s="223"/>
    </row>
    <row r="77" spans="1:11">
      <c r="A77" s="150" t="s">
        <v>1208</v>
      </c>
      <c r="B77" s="226">
        <f>(E44*E47*B47)/1000000</f>
        <v>5237.3999999999996</v>
      </c>
      <c r="C77" s="226">
        <f>(E44*E47*C47)/1000000</f>
        <v>11739</v>
      </c>
      <c r="D77" s="226">
        <f>(F44*E47*B47)/1000000</f>
        <v>4769.7749999999996</v>
      </c>
      <c r="E77" s="226">
        <f>(F44*E47*C47)/1000000</f>
        <v>10690.875</v>
      </c>
      <c r="F77" s="155"/>
      <c r="G77" s="133"/>
      <c r="H77" s="223"/>
      <c r="I77" s="223"/>
      <c r="J77" s="223"/>
      <c r="K77" s="223"/>
    </row>
    <row r="78" spans="1:11">
      <c r="A78" s="150" t="s">
        <v>1209</v>
      </c>
      <c r="B78" s="226">
        <v>0</v>
      </c>
      <c r="C78" s="226">
        <v>0</v>
      </c>
      <c r="D78" s="226">
        <f>(E45*E47*B40)/1000000</f>
        <v>27.976875</v>
      </c>
      <c r="E78" s="226">
        <f>(E45*E47*C40)/1000000</f>
        <v>46.939875000000001</v>
      </c>
      <c r="F78" s="155"/>
      <c r="G78" s="133"/>
      <c r="H78" s="223"/>
      <c r="I78" s="223"/>
      <c r="J78" s="223"/>
      <c r="K78" s="223"/>
    </row>
    <row r="79" spans="1:11">
      <c r="A79" s="150" t="s">
        <v>45</v>
      </c>
      <c r="B79" s="226">
        <f>(E46*B46)/1000000</f>
        <v>1.68</v>
      </c>
      <c r="C79" s="226">
        <f>(E46*C46)/1000000</f>
        <v>46.2</v>
      </c>
      <c r="D79" s="226">
        <f>(F44*B46)/1000000</f>
        <v>1.53</v>
      </c>
      <c r="E79" s="226">
        <f>(F44*C46)/1000000</f>
        <v>42.075000000000003</v>
      </c>
      <c r="F79" s="155"/>
      <c r="G79" s="236"/>
      <c r="H79" s="237"/>
      <c r="I79" s="237"/>
      <c r="J79" s="237"/>
      <c r="K79" s="237"/>
    </row>
    <row r="80" spans="1:11">
      <c r="A80" s="150" t="s">
        <v>1176</v>
      </c>
      <c r="B80" s="226">
        <v>0</v>
      </c>
      <c r="C80" s="226">
        <v>0</v>
      </c>
      <c r="D80" s="226">
        <f>(E45*B46)/1000000</f>
        <v>0.15</v>
      </c>
      <c r="E80" s="226">
        <f>(E45*C46)/1000000</f>
        <v>4.125</v>
      </c>
      <c r="F80" s="155"/>
      <c r="G80" s="152"/>
      <c r="H80" s="238"/>
      <c r="I80" s="117"/>
      <c r="J80" s="117"/>
      <c r="K80" s="117"/>
    </row>
    <row r="81" spans="1:6">
      <c r="A81" s="150" t="s">
        <v>1066</v>
      </c>
      <c r="B81" s="226">
        <f>($B$50*$B$51)/1000000</f>
        <v>38.25</v>
      </c>
      <c r="C81" s="226">
        <f>($B$50*$C$51)/1000000</f>
        <v>39.270000000000003</v>
      </c>
      <c r="D81" s="226">
        <f>($B$50*$B$51)/1000000</f>
        <v>38.25</v>
      </c>
      <c r="E81" s="226">
        <f>($B$50*$C$51)/1000000</f>
        <v>39.270000000000003</v>
      </c>
      <c r="F81" s="155"/>
    </row>
    <row r="82" spans="1:6">
      <c r="A82" s="227" t="s">
        <v>1068</v>
      </c>
      <c r="B82" s="228">
        <v>0</v>
      </c>
      <c r="C82" s="228">
        <v>0</v>
      </c>
      <c r="D82" s="228">
        <v>0</v>
      </c>
      <c r="E82" s="228">
        <v>0</v>
      </c>
    </row>
    <row r="83" spans="1:6">
      <c r="A83" s="233" t="s">
        <v>1009</v>
      </c>
      <c r="B83" s="234">
        <f>SUM(B73:B82)</f>
        <v>5327.3099999999995</v>
      </c>
      <c r="C83" s="234">
        <f>SUM(C73:C82)</f>
        <v>12036.150000000001</v>
      </c>
      <c r="D83" s="234">
        <f>SUM(D73:D82)</f>
        <v>4887.4743749999989</v>
      </c>
      <c r="E83" s="234">
        <f>SUM(E73:E82)</f>
        <v>11022.214875000001</v>
      </c>
    </row>
    <row r="84" spans="1:6">
      <c r="A84" s="142" t="s">
        <v>646</v>
      </c>
      <c r="B84" s="240">
        <f>(B83+B71+B72+B63)</f>
        <v>7505.305968749999</v>
      </c>
      <c r="C84" s="240">
        <f>(C83+C71+C72+C63)</f>
        <v>15238.679850000002</v>
      </c>
      <c r="D84" s="240">
        <f>(D83+D71+D72+D63)</f>
        <v>6488.6608324124991</v>
      </c>
      <c r="E84" s="240">
        <f>(E83+E71+E72+E63)</f>
        <v>13373.717062180001</v>
      </c>
    </row>
    <row r="85" spans="1:6">
      <c r="A85" s="235" t="s">
        <v>918</v>
      </c>
      <c r="B85" s="241"/>
      <c r="C85" s="241"/>
      <c r="D85" s="241">
        <f>(B84-D84)</f>
        <v>1016.6451363374999</v>
      </c>
      <c r="E85" s="241">
        <f>(C84-E84)</f>
        <v>1864.9627878200008</v>
      </c>
    </row>
    <row r="86" spans="1:6">
      <c r="A86" s="242" t="s">
        <v>919</v>
      </c>
      <c r="B86" s="81"/>
      <c r="C86" s="81"/>
      <c r="D86" s="243">
        <f>(D85/B84)*100</f>
        <v>13.545685420028533</v>
      </c>
      <c r="E86" s="243">
        <f>(E85/C84)*100</f>
        <v>12.238348768905992</v>
      </c>
    </row>
    <row r="88" spans="1:6" ht="15">
      <c r="A88" s="55" t="s">
        <v>287</v>
      </c>
    </row>
    <row r="89" spans="1:6">
      <c r="A89" t="s">
        <v>134</v>
      </c>
      <c r="B89" t="s">
        <v>328</v>
      </c>
      <c r="C89" t="s">
        <v>329</v>
      </c>
      <c r="D89" t="s">
        <v>330</v>
      </c>
      <c r="E89" t="s">
        <v>1100</v>
      </c>
    </row>
    <row r="90" spans="1:6">
      <c r="A90" t="s">
        <v>331</v>
      </c>
      <c r="B90" s="73">
        <v>779</v>
      </c>
      <c r="C90" s="71">
        <v>3500</v>
      </c>
      <c r="D90" s="71">
        <f>(B90*C90)</f>
        <v>2726500</v>
      </c>
      <c r="E90">
        <f>(D90/$D$95)*100</f>
        <v>77.971450196571595</v>
      </c>
    </row>
    <row r="91" spans="1:6">
      <c r="A91" t="s">
        <v>332</v>
      </c>
      <c r="B91" s="73">
        <f>(B90/10/2)</f>
        <v>38.950000000000003</v>
      </c>
      <c r="C91" s="71">
        <v>8000</v>
      </c>
      <c r="D91" s="71">
        <f>(C91*B91)</f>
        <v>311600</v>
      </c>
      <c r="E91">
        <f>(D91/$D$95)*100</f>
        <v>8.9110228796081827</v>
      </c>
    </row>
    <row r="92" spans="1:6">
      <c r="A92" t="s">
        <v>338</v>
      </c>
      <c r="B92" s="73">
        <f>(B90/10/2)</f>
        <v>38.950000000000003</v>
      </c>
      <c r="C92" s="71">
        <v>5500</v>
      </c>
      <c r="D92" s="71">
        <f>(C92*B92)</f>
        <v>214225.00000000003</v>
      </c>
      <c r="E92">
        <f>(D92/$D$95)*100</f>
        <v>6.1263282297306256</v>
      </c>
    </row>
    <row r="93" spans="1:6">
      <c r="A93" t="s">
        <v>333</v>
      </c>
      <c r="B93" s="73">
        <f>(B90*0.05)/10</f>
        <v>3.8950000000000005</v>
      </c>
      <c r="C93" s="71">
        <f>(2911*19.5)</f>
        <v>56764.5</v>
      </c>
      <c r="D93" s="71">
        <f>(C93*B93)</f>
        <v>221097.72750000004</v>
      </c>
      <c r="E93">
        <f>(D93/$D$95)*100</f>
        <v>6.3228719781189842</v>
      </c>
    </row>
    <row r="94" spans="1:6">
      <c r="A94" t="s">
        <v>334</v>
      </c>
      <c r="B94" s="73">
        <f>(B90/10/2)</f>
        <v>38.950000000000003</v>
      </c>
      <c r="C94" s="71">
        <v>600</v>
      </c>
      <c r="D94" s="71">
        <f>(C94*B94)</f>
        <v>23370</v>
      </c>
      <c r="E94">
        <f>(D94/$D$95)*100</f>
        <v>0.66832671597061366</v>
      </c>
    </row>
    <row r="95" spans="1:6">
      <c r="A95" t="s">
        <v>646</v>
      </c>
      <c r="D95" s="71">
        <f>SUM(D90:D94)</f>
        <v>3496792.7275</v>
      </c>
    </row>
    <row r="97" spans="1:5">
      <c r="A97" t="s">
        <v>134</v>
      </c>
      <c r="B97" t="s">
        <v>1100</v>
      </c>
    </row>
    <row r="98" spans="1:5">
      <c r="A98" t="s">
        <v>331</v>
      </c>
      <c r="B98" s="73">
        <f>(1*E90)</f>
        <v>77.971450196571595</v>
      </c>
    </row>
    <row r="99" spans="1:5">
      <c r="A99" t="s">
        <v>332</v>
      </c>
      <c r="B99" s="73">
        <f>(1*E91)</f>
        <v>8.9110228796081827</v>
      </c>
    </row>
    <row r="100" spans="1:5">
      <c r="A100" t="s">
        <v>338</v>
      </c>
      <c r="B100" s="73">
        <f>(1*E92)</f>
        <v>6.1263282297306256</v>
      </c>
    </row>
    <row r="101" spans="1:5">
      <c r="A101" t="s">
        <v>333</v>
      </c>
      <c r="B101" s="73">
        <f>(1*E93)</f>
        <v>6.3228719781189842</v>
      </c>
    </row>
    <row r="102" spans="1:5">
      <c r="A102" t="s">
        <v>334</v>
      </c>
      <c r="B102" s="73">
        <f>(1*E94)</f>
        <v>0.66832671597061366</v>
      </c>
    </row>
    <row r="104" spans="1:5" ht="15">
      <c r="A104" s="55" t="s">
        <v>269</v>
      </c>
    </row>
    <row r="105" spans="1:5">
      <c r="A105" t="s">
        <v>134</v>
      </c>
      <c r="B105" t="s">
        <v>328</v>
      </c>
      <c r="C105" t="s">
        <v>329</v>
      </c>
      <c r="D105" t="s">
        <v>330</v>
      </c>
      <c r="E105" t="s">
        <v>1100</v>
      </c>
    </row>
    <row r="106" spans="1:5">
      <c r="A106" t="s">
        <v>1110</v>
      </c>
      <c r="B106">
        <f>(78*19.5)</f>
        <v>1521</v>
      </c>
      <c r="C106">
        <v>2911</v>
      </c>
      <c r="D106">
        <f>(C106*B106)</f>
        <v>4427631</v>
      </c>
      <c r="E106" s="75">
        <f>(D106/$D$110)*100</f>
        <v>74.725036036569719</v>
      </c>
    </row>
    <row r="107" spans="1:5">
      <c r="A107" t="s">
        <v>335</v>
      </c>
      <c r="B107">
        <v>78</v>
      </c>
      <c r="C107">
        <v>8000</v>
      </c>
      <c r="D107">
        <f>(C107*B107)</f>
        <v>624000</v>
      </c>
      <c r="E107" s="75">
        <f>(D107/$D$110)*100</f>
        <v>10.531234984762619</v>
      </c>
    </row>
    <row r="108" spans="1:5">
      <c r="A108" t="s">
        <v>336</v>
      </c>
      <c r="B108">
        <v>78</v>
      </c>
      <c r="C108">
        <v>10000</v>
      </c>
      <c r="D108">
        <f>(C108*B108)</f>
        <v>780000</v>
      </c>
      <c r="E108" s="75">
        <f>(D108/$D$110)*100</f>
        <v>13.164043730953273</v>
      </c>
    </row>
    <row r="109" spans="1:5">
      <c r="A109" t="s">
        <v>337</v>
      </c>
      <c r="B109">
        <f>(78*2)</f>
        <v>156</v>
      </c>
      <c r="C109">
        <v>600</v>
      </c>
      <c r="D109">
        <f>(C109*B109)</f>
        <v>93600</v>
      </c>
      <c r="E109" s="75">
        <f>(D109/$D$110)*100</f>
        <v>1.5796852477143928</v>
      </c>
    </row>
    <row r="110" spans="1:5">
      <c r="A110" t="s">
        <v>646</v>
      </c>
      <c r="D110">
        <f>SUM(D106:D109)</f>
        <v>5925231</v>
      </c>
    </row>
    <row r="111" spans="1:5">
      <c r="A111" t="s">
        <v>134</v>
      </c>
      <c r="B111" t="s">
        <v>1100</v>
      </c>
    </row>
    <row r="112" spans="1:5">
      <c r="A112" t="s">
        <v>1258</v>
      </c>
      <c r="B112" s="75">
        <f>(1*E106)</f>
        <v>74.725036036569719</v>
      </c>
    </row>
    <row r="113" spans="1:2">
      <c r="A113" t="s">
        <v>335</v>
      </c>
      <c r="B113" s="75">
        <f>(1*E107)</f>
        <v>10.531234984762619</v>
      </c>
    </row>
    <row r="114" spans="1:2">
      <c r="A114" t="s">
        <v>336</v>
      </c>
      <c r="B114" s="75">
        <f>(1*E108)</f>
        <v>13.164043730953273</v>
      </c>
    </row>
    <row r="115" spans="1:2">
      <c r="A115" t="s">
        <v>337</v>
      </c>
      <c r="B115" s="75">
        <f>(1*E109)</f>
        <v>1.5796852477143928</v>
      </c>
    </row>
  </sheetData>
  <phoneticPr fontId="18" type="noConversion"/>
  <pageMargins left="0.75" right="0.75" top="1" bottom="1" header="0.5" footer="0.5"/>
  <rowBreaks count="1" manualBreakCount="1">
    <brk id="34" max="16383" man="1"/>
  </rowBreaks>
  <colBreaks count="1" manualBreakCount="1">
    <brk id="7" max="1048575" man="1"/>
  </col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S403"/>
  <sheetViews>
    <sheetView topLeftCell="A375" zoomScaleNormal="90" zoomScalePageLayoutView="90" workbookViewId="0">
      <selection activeCell="C407" sqref="C407"/>
    </sheetView>
  </sheetViews>
  <sheetFormatPr defaultColWidth="8.75" defaultRowHeight="14.25"/>
  <cols>
    <col min="1" max="1" width="19.125" customWidth="1"/>
    <col min="2" max="2" width="13.25" customWidth="1"/>
    <col min="3" max="3" width="11.875" customWidth="1"/>
    <col min="4" max="4" width="12.125" customWidth="1"/>
    <col min="5" max="5" width="12.375" customWidth="1"/>
    <col min="6" max="6" width="11" customWidth="1"/>
    <col min="7" max="7" width="12.375" customWidth="1"/>
    <col min="9" max="9" width="18.25" customWidth="1"/>
    <col min="13" max="13" width="9.125" bestFit="1" customWidth="1"/>
    <col min="14" max="14" width="9.375" bestFit="1" customWidth="1"/>
    <col min="15" max="15" width="10.375" bestFit="1" customWidth="1"/>
    <col min="18" max="18" width="9.375" bestFit="1" customWidth="1"/>
  </cols>
  <sheetData>
    <row r="1" spans="1:7" ht="15">
      <c r="A1" s="55" t="s">
        <v>992</v>
      </c>
    </row>
    <row r="2" spans="1:7">
      <c r="B2" s="275"/>
    </row>
    <row r="3" spans="1:7" ht="54.95" customHeight="1">
      <c r="A3" s="147"/>
      <c r="B3" s="147" t="s">
        <v>343</v>
      </c>
      <c r="C3" s="147" t="s">
        <v>387</v>
      </c>
      <c r="D3" s="147" t="s">
        <v>388</v>
      </c>
      <c r="E3" s="147" t="s">
        <v>993</v>
      </c>
      <c r="F3" s="147" t="s">
        <v>994</v>
      </c>
      <c r="G3" s="147" t="s">
        <v>995</v>
      </c>
    </row>
    <row r="4" spans="1:7">
      <c r="A4" s="147" t="s">
        <v>56</v>
      </c>
      <c r="B4" s="302">
        <f>(2660000/$B$75)*100</f>
        <v>0.83125000000000004</v>
      </c>
      <c r="C4" s="302">
        <f>(2660000/$B$75)*100</f>
        <v>0.83125000000000004</v>
      </c>
      <c r="D4" s="302">
        <f>(2660000/$B$75)*100</f>
        <v>0.83125000000000004</v>
      </c>
      <c r="E4" s="302"/>
    </row>
    <row r="5" spans="1:7">
      <c r="A5" s="147" t="s">
        <v>57</v>
      </c>
      <c r="B5" s="302">
        <f>(498000/$B$75)*100</f>
        <v>0.15562499999999999</v>
      </c>
      <c r="C5" s="302">
        <f>(498000/$B$75)*100</f>
        <v>0.15562499999999999</v>
      </c>
      <c r="D5" s="302">
        <f>(498000/$B$75)*100</f>
        <v>0.15562499999999999</v>
      </c>
      <c r="E5" s="302"/>
    </row>
    <row r="6" spans="1:7">
      <c r="A6" s="147" t="s">
        <v>58</v>
      </c>
      <c r="B6" s="302">
        <f>(166000/$B$75)*100</f>
        <v>5.1874999999999998E-2</v>
      </c>
      <c r="C6" s="302">
        <f>(166000/$B$75)*100</f>
        <v>5.1874999999999998E-2</v>
      </c>
      <c r="D6" s="302">
        <f>(166000/$B$75)*100</f>
        <v>5.1874999999999998E-2</v>
      </c>
      <c r="E6" s="302"/>
    </row>
    <row r="7" spans="1:7" ht="16.5" customHeight="1">
      <c r="A7" s="147" t="s">
        <v>59</v>
      </c>
      <c r="B7" s="302">
        <f>(1940000/$B$75)*100</f>
        <v>0.60625000000000007</v>
      </c>
      <c r="C7" s="302">
        <f>(1940000/$B$75)*100</f>
        <v>0.60625000000000007</v>
      </c>
      <c r="D7" s="302">
        <f>(1940000/$B$75)*100</f>
        <v>0.60625000000000007</v>
      </c>
      <c r="E7" s="302"/>
    </row>
    <row r="8" spans="1:7">
      <c r="A8" s="147" t="s">
        <v>60</v>
      </c>
      <c r="B8" s="302">
        <f>(347000/$B$75)*100</f>
        <v>0.10843750000000001</v>
      </c>
      <c r="C8" s="302">
        <f>(347000/$B$75)*100</f>
        <v>0.10843750000000001</v>
      </c>
      <c r="D8" s="302">
        <f>(347000/$B$75)*100</f>
        <v>0.10843750000000001</v>
      </c>
      <c r="E8" s="302"/>
    </row>
    <row r="9" spans="1:7">
      <c r="A9" s="147" t="s">
        <v>61</v>
      </c>
      <c r="B9" s="302">
        <f>+(129000/$B$75)*100</f>
        <v>4.0312500000000001E-2</v>
      </c>
      <c r="C9" s="302">
        <f>+(129000/$B$75)*100</f>
        <v>4.0312500000000001E-2</v>
      </c>
      <c r="D9" s="302">
        <f>+(129000/$B$75)*100</f>
        <v>4.0312500000000001E-2</v>
      </c>
      <c r="E9" s="302">
        <f>SUM(B4:B9)</f>
        <v>1.79375</v>
      </c>
      <c r="F9" s="302">
        <f>SUM(C4:C9)</f>
        <v>1.79375</v>
      </c>
      <c r="G9" s="302">
        <f>SUM(D4:D9)</f>
        <v>1.79375</v>
      </c>
    </row>
    <row r="10" spans="1:7">
      <c r="A10" s="147" t="s">
        <v>62</v>
      </c>
      <c r="B10" s="302">
        <f>(41000000/$B$75)*100</f>
        <v>12.812499999999998</v>
      </c>
      <c r="C10" s="302">
        <f>(41000000/$B$75)*100</f>
        <v>12.812499999999998</v>
      </c>
      <c r="D10" s="302">
        <f>(7440000/$B$75)*100</f>
        <v>2.3250000000000002</v>
      </c>
      <c r="E10" s="302"/>
    </row>
    <row r="11" spans="1:7">
      <c r="A11" s="147" t="s">
        <v>63</v>
      </c>
      <c r="B11" s="302">
        <f>(7680000/$B$75)*100</f>
        <v>2.4</v>
      </c>
      <c r="C11" s="302">
        <f>(7680000/$B$75)*100</f>
        <v>2.4</v>
      </c>
      <c r="D11" s="302">
        <f>(1400000/$B$75)*100</f>
        <v>0.43750000000000006</v>
      </c>
      <c r="E11" s="302"/>
    </row>
    <row r="12" spans="1:7">
      <c r="A12" s="147" t="s">
        <v>64</v>
      </c>
      <c r="B12" s="302">
        <f>(2560000/$B$75)*100</f>
        <v>0.8</v>
      </c>
      <c r="C12" s="302">
        <f>(2560000/$B$75)*100</f>
        <v>0.8</v>
      </c>
      <c r="D12" s="302">
        <f>(465000/$B$75)*100</f>
        <v>0.14531250000000001</v>
      </c>
      <c r="E12" s="302"/>
    </row>
    <row r="13" spans="1:7">
      <c r="A13" s="147" t="s">
        <v>65</v>
      </c>
      <c r="B13" s="302">
        <f>(12200000/$B$75)*100</f>
        <v>3.8125</v>
      </c>
      <c r="C13" s="302">
        <f>(12200000/$B$75)*100</f>
        <v>3.8125</v>
      </c>
      <c r="D13" s="302">
        <f>(2210000/$B$75)*100</f>
        <v>0.69062500000000004</v>
      </c>
      <c r="E13" s="302"/>
    </row>
    <row r="14" spans="1:7">
      <c r="A14" s="147" t="s">
        <v>66</v>
      </c>
      <c r="B14" s="302">
        <f>+(650000/$B$75)*100</f>
        <v>0.203125</v>
      </c>
      <c r="C14" s="302">
        <f>+(650000/$B$75)*100</f>
        <v>0.203125</v>
      </c>
      <c r="D14" s="302">
        <f>+(650000/$B$75)*100</f>
        <v>0.203125</v>
      </c>
      <c r="E14" s="302"/>
    </row>
    <row r="15" spans="1:7">
      <c r="A15" s="147" t="s">
        <v>67</v>
      </c>
      <c r="B15" s="302">
        <f>(810000/$B$75)*100</f>
        <v>0.25312499999999999</v>
      </c>
      <c r="C15" s="302">
        <f>(810000/$B$75)*100</f>
        <v>0.25312499999999999</v>
      </c>
      <c r="D15" s="302">
        <f>(147000/$B$75)*100</f>
        <v>4.5937499999999999E-2</v>
      </c>
      <c r="E15" s="302">
        <f>SUM(B10:B15)</f>
        <v>20.28125</v>
      </c>
      <c r="F15" s="302">
        <f>SUM(C10:C15)</f>
        <v>20.28125</v>
      </c>
      <c r="G15" s="302">
        <f>SUM(D10:D15)</f>
        <v>3.8475000000000001</v>
      </c>
    </row>
    <row r="16" spans="1:7">
      <c r="A16" s="147" t="s">
        <v>68</v>
      </c>
      <c r="B16" s="302">
        <f>(198000000/$B$75)*100</f>
        <v>61.875</v>
      </c>
      <c r="C16" s="302">
        <f>(19300000/$B$75)*100</f>
        <v>6.03125</v>
      </c>
      <c r="D16" s="302">
        <f>(19200000/$B$75)*100</f>
        <v>6</v>
      </c>
      <c r="E16" s="302"/>
    </row>
    <row r="17" spans="1:7">
      <c r="A17" s="147" t="s">
        <v>69</v>
      </c>
      <c r="B17" s="302">
        <f>(37100000/$B$75)*100</f>
        <v>11.59375</v>
      </c>
      <c r="C17" s="302">
        <f>(3610000/$B$75)*100</f>
        <v>1.128125</v>
      </c>
      <c r="D17" s="302">
        <f>(3600000/$B$75)*100</f>
        <v>1.125</v>
      </c>
      <c r="E17" s="302"/>
    </row>
    <row r="18" spans="1:7">
      <c r="A18" s="147" t="s">
        <v>70</v>
      </c>
      <c r="B18" s="302">
        <f>(12400000/$B$75)*100</f>
        <v>3.875</v>
      </c>
      <c r="C18" s="302">
        <f>(1200000/$B$75)*100</f>
        <v>0.375</v>
      </c>
      <c r="D18" s="302">
        <f>(1200000/$B$75)*100</f>
        <v>0.375</v>
      </c>
      <c r="E18" s="302"/>
    </row>
    <row r="19" spans="1:7">
      <c r="A19" s="147" t="s">
        <v>71</v>
      </c>
      <c r="B19" s="302">
        <f>(58600000/$B$75)*100</f>
        <v>18.3125</v>
      </c>
      <c r="C19" s="302">
        <f>(5720000/$B$75)*100</f>
        <v>1.7874999999999999</v>
      </c>
      <c r="D19" s="302">
        <f>(5700000/$B$75)*100</f>
        <v>1.7812499999999998</v>
      </c>
      <c r="E19" s="302"/>
    </row>
    <row r="20" spans="1:7">
      <c r="A20" s="147" t="s">
        <v>72</v>
      </c>
      <c r="B20" s="302">
        <f>(24500000/$B$75)*100</f>
        <v>7.6562500000000009</v>
      </c>
      <c r="C20" s="302">
        <f>(2420000/$B$75)*100</f>
        <v>0.75624999999999998</v>
      </c>
      <c r="D20" s="302">
        <f>(2420000/$B$75)*100</f>
        <v>0.75624999999999998</v>
      </c>
      <c r="E20" s="302"/>
    </row>
    <row r="21" spans="1:7">
      <c r="A21" s="147" t="s">
        <v>73</v>
      </c>
      <c r="B21" s="302">
        <f>(3940000/$B$75)*100</f>
        <v>1.23125</v>
      </c>
      <c r="C21" s="302">
        <f>(384000/$B$75)*100</f>
        <v>0.12</v>
      </c>
      <c r="D21" s="302">
        <f>(392000/$B$75)*100</f>
        <v>0.1225</v>
      </c>
      <c r="E21" s="302">
        <f>SUM(B16:B21)</f>
        <v>104.54375</v>
      </c>
      <c r="F21" s="302">
        <f>SUM(C16:C21)</f>
        <v>10.198124999999999</v>
      </c>
      <c r="G21" s="302">
        <f>SUM(D16:D21)</f>
        <v>10.16</v>
      </c>
    </row>
    <row r="22" spans="1:7">
      <c r="A22" s="147" t="s">
        <v>74</v>
      </c>
      <c r="B22" s="302">
        <f t="shared" ref="B22:G22" si="0">SUM(B4:B21)</f>
        <v>126.61875000000001</v>
      </c>
      <c r="C22" s="302">
        <f t="shared" si="0"/>
        <v>32.273125</v>
      </c>
      <c r="D22" s="302">
        <f t="shared" si="0"/>
        <v>15.80125</v>
      </c>
      <c r="E22" s="309">
        <f t="shared" si="0"/>
        <v>126.61875000000001</v>
      </c>
      <c r="F22" s="309">
        <f t="shared" si="0"/>
        <v>32.273125</v>
      </c>
      <c r="G22" s="309">
        <f t="shared" si="0"/>
        <v>15.80125</v>
      </c>
    </row>
    <row r="23" spans="1:7" ht="25.5">
      <c r="A23" s="147" t="s">
        <v>75</v>
      </c>
      <c r="B23" s="300">
        <v>405000000</v>
      </c>
      <c r="C23" s="300">
        <v>103000000</v>
      </c>
      <c r="D23" s="300">
        <v>50700000</v>
      </c>
      <c r="E23" s="154"/>
    </row>
    <row r="24" spans="1:7" ht="38.25">
      <c r="A24" s="147"/>
      <c r="B24" s="147" t="s">
        <v>998</v>
      </c>
      <c r="C24" s="147" t="s">
        <v>999</v>
      </c>
      <c r="D24" s="147" t="s">
        <v>1000</v>
      </c>
      <c r="E24" s="154"/>
    </row>
    <row r="25" spans="1:7">
      <c r="A25" s="147" t="s">
        <v>996</v>
      </c>
      <c r="B25" s="302">
        <f>(5717000/$B$75)*100</f>
        <v>1.7865625000000001</v>
      </c>
      <c r="C25" s="302">
        <f>(5717000/$B$75)*100</f>
        <v>1.7865625000000001</v>
      </c>
      <c r="D25" s="302">
        <f>(5717000/$B$75)*100</f>
        <v>1.7865625000000001</v>
      </c>
      <c r="E25" s="154"/>
    </row>
    <row r="26" spans="1:7">
      <c r="A26" s="147" t="s">
        <v>997</v>
      </c>
      <c r="B26" s="302">
        <f>(64430000/$B$75)*100</f>
        <v>20.134374999999999</v>
      </c>
      <c r="C26" s="302">
        <f>(64430000/$B$75)*100</f>
        <v>20.134374999999999</v>
      </c>
      <c r="D26" s="302">
        <f>(12300000/$B$75)*100</f>
        <v>3.84375</v>
      </c>
      <c r="E26" s="154"/>
    </row>
    <row r="27" spans="1:7">
      <c r="A27" s="147" t="s">
        <v>76</v>
      </c>
      <c r="B27" s="302">
        <f>(334000000/$B$75)*100</f>
        <v>104.375</v>
      </c>
      <c r="C27" s="302">
        <f>(32600000/$B$75)*100</f>
        <v>10.1875</v>
      </c>
      <c r="D27" s="302">
        <f>(32500000/$B$75)*100</f>
        <v>10.15625</v>
      </c>
      <c r="E27" s="154"/>
    </row>
    <row r="28" spans="1:7">
      <c r="A28" s="147" t="s">
        <v>646</v>
      </c>
      <c r="B28" s="302">
        <f>SUM(B25:B27)</f>
        <v>126.29593749999999</v>
      </c>
      <c r="C28" s="302">
        <f>SUM(C25:C27)</f>
        <v>32.108437499999994</v>
      </c>
      <c r="D28" s="302">
        <f>SUM(D25:D27)</f>
        <v>15.7865625</v>
      </c>
      <c r="E28" s="154"/>
    </row>
    <row r="29" spans="1:7" ht="25.5">
      <c r="A29" s="196" t="s">
        <v>1219</v>
      </c>
      <c r="B29" s="147"/>
      <c r="C29" s="147"/>
      <c r="D29" s="147"/>
      <c r="E29" s="154"/>
    </row>
    <row r="30" spans="1:7" ht="38.25">
      <c r="A30" s="150" t="s">
        <v>430</v>
      </c>
      <c r="B30" s="147" t="s">
        <v>297</v>
      </c>
      <c r="C30" s="147" t="s">
        <v>999</v>
      </c>
      <c r="D30" s="147" t="s">
        <v>1000</v>
      </c>
    </row>
    <row r="31" spans="1:7">
      <c r="A31" s="150" t="s">
        <v>108</v>
      </c>
      <c r="B31" s="73">
        <f>(21200000/$B$75)*100</f>
        <v>6.625</v>
      </c>
      <c r="C31" s="73">
        <f>(4090000/$B$75)*100</f>
        <v>1.278125</v>
      </c>
      <c r="D31" s="73">
        <f>(2800000/$B$75)*100</f>
        <v>0.87500000000000011</v>
      </c>
    </row>
    <row r="32" spans="1:7">
      <c r="A32" s="150" t="s">
        <v>109</v>
      </c>
      <c r="B32" s="73">
        <f>(134000/$B$75)*100</f>
        <v>4.1875000000000002E-2</v>
      </c>
      <c r="C32" s="73">
        <f>(22500/$B$75)*100</f>
        <v>7.0312499999999993E-3</v>
      </c>
      <c r="D32" s="73">
        <f>(18200/$B$75)*100</f>
        <v>5.6874999999999998E-3</v>
      </c>
    </row>
    <row r="33" spans="1:4">
      <c r="A33" s="150" t="s">
        <v>658</v>
      </c>
      <c r="B33" s="73">
        <f>(165000000/$B$75)*100</f>
        <v>51.5625</v>
      </c>
      <c r="C33" s="73">
        <f>(39800000/$B$75)*100</f>
        <v>12.4375</v>
      </c>
      <c r="D33" s="73">
        <f>(22200000/$B$75)*100</f>
        <v>6.9375000000000009</v>
      </c>
    </row>
    <row r="34" spans="1:4">
      <c r="A34" s="150" t="s">
        <v>1189</v>
      </c>
      <c r="B34" s="73">
        <f>(35000000/$B$75)*100</f>
        <v>10.9375</v>
      </c>
      <c r="C34" s="73">
        <f>(7750000/$B$75)*100</f>
        <v>2.421875</v>
      </c>
      <c r="D34" s="73">
        <f>(6520000/$B$75)*100</f>
        <v>2.0375000000000001</v>
      </c>
    </row>
    <row r="35" spans="1:4">
      <c r="A35" s="150" t="s">
        <v>107</v>
      </c>
      <c r="B35" s="73">
        <f>(742000/$B$75)*100</f>
        <v>0.231875</v>
      </c>
      <c r="C35" s="73">
        <f>(97000/$B$75)*100</f>
        <v>3.0312499999999999E-2</v>
      </c>
      <c r="D35" s="73">
        <f>(85500/$B$75)*100</f>
        <v>2.6718749999999999E-2</v>
      </c>
    </row>
    <row r="36" spans="1:4">
      <c r="A36" s="150" t="s">
        <v>1187</v>
      </c>
      <c r="B36" s="73">
        <f>(30100/$B$75)*100</f>
        <v>9.4062499999999997E-3</v>
      </c>
      <c r="C36" s="73">
        <f>(1940/$B$75)*100</f>
        <v>6.0625000000000002E-4</v>
      </c>
      <c r="D36" s="73">
        <f>(1560/$B$75)*100</f>
        <v>4.8749999999999998E-4</v>
      </c>
    </row>
    <row r="37" spans="1:4">
      <c r="A37" s="150" t="s">
        <v>1234</v>
      </c>
      <c r="B37" s="73">
        <f>(25900000/$B$75)*100</f>
        <v>8.09375</v>
      </c>
      <c r="C37" s="73">
        <f>(15000000/$B$75)*100</f>
        <v>4.6875</v>
      </c>
      <c r="D37" s="73">
        <f>(2420000/$B$75)*100</f>
        <v>0.75624999999999998</v>
      </c>
    </row>
    <row r="38" spans="1:4" ht="25.5">
      <c r="A38" s="150" t="s">
        <v>1124</v>
      </c>
      <c r="B38" s="73">
        <f>(5080000/$B$75)*100</f>
        <v>1.5874999999999999</v>
      </c>
      <c r="C38" s="73">
        <f>(858000/$B$75)*100</f>
        <v>0.268125</v>
      </c>
      <c r="D38" s="73">
        <f>(674000/$B$75)*100</f>
        <v>0.21062500000000001</v>
      </c>
    </row>
    <row r="39" spans="1:4">
      <c r="A39" s="150" t="s">
        <v>1125</v>
      </c>
      <c r="B39" s="73">
        <f>(3410000/$B$75)*100</f>
        <v>1.065625</v>
      </c>
      <c r="C39" s="73">
        <f>(1120000/$B$75)*100</f>
        <v>0.35000000000000003</v>
      </c>
      <c r="D39" s="73">
        <f>(943000/$B$75)*100</f>
        <v>0.29468749999999999</v>
      </c>
    </row>
    <row r="40" spans="1:4">
      <c r="A40" s="150" t="s">
        <v>1237</v>
      </c>
      <c r="B40" s="73">
        <f>(35200000/$B$75)*100</f>
        <v>11</v>
      </c>
      <c r="C40" s="73">
        <f>(19400000/$B$75)*100</f>
        <v>6.0625</v>
      </c>
      <c r="D40" s="73">
        <f>(3660000/$B$75)*100</f>
        <v>1.14375</v>
      </c>
    </row>
    <row r="41" spans="1:4">
      <c r="A41" s="150" t="s">
        <v>1238</v>
      </c>
      <c r="B41" s="73">
        <f>(113000000/$B$75)*100</f>
        <v>35.3125</v>
      </c>
      <c r="C41" s="73">
        <f>(15000000/$B$75)*100</f>
        <v>4.6875</v>
      </c>
      <c r="D41" s="73">
        <f>(11400000/$B$75)*100</f>
        <v>3.5624999999999996</v>
      </c>
    </row>
    <row r="42" spans="1:4">
      <c r="A42" s="142" t="s">
        <v>646</v>
      </c>
      <c r="B42" s="73">
        <f>SUM(B31:B41)</f>
        <v>126.46753125000001</v>
      </c>
      <c r="C42" s="73">
        <f>SUM(C31:C41)</f>
        <v>32.231075000000004</v>
      </c>
      <c r="D42" s="73">
        <f>SUM(D31:D41)</f>
        <v>15.850706250000002</v>
      </c>
    </row>
    <row r="43" spans="1:4">
      <c r="A43" s="150" t="s">
        <v>52</v>
      </c>
      <c r="B43" s="275">
        <v>405000000</v>
      </c>
      <c r="C43" s="275">
        <v>103000000</v>
      </c>
      <c r="D43" s="275">
        <v>50800000</v>
      </c>
    </row>
    <row r="44" spans="1:4" ht="25.5">
      <c r="A44" s="196" t="s">
        <v>1220</v>
      </c>
    </row>
    <row r="45" spans="1:4" ht="38.25">
      <c r="A45" s="150" t="s">
        <v>430</v>
      </c>
      <c r="B45" s="147" t="s">
        <v>998</v>
      </c>
      <c r="C45" s="147" t="s">
        <v>999</v>
      </c>
      <c r="D45" s="147" t="s">
        <v>1000</v>
      </c>
    </row>
    <row r="46" spans="1:4">
      <c r="A46" s="150" t="s">
        <v>108</v>
      </c>
      <c r="B46" s="275">
        <v>53000</v>
      </c>
      <c r="C46" s="275">
        <v>10200</v>
      </c>
      <c r="D46" s="275">
        <v>6990</v>
      </c>
    </row>
    <row r="47" spans="1:4">
      <c r="A47" s="150" t="s">
        <v>109</v>
      </c>
      <c r="B47" s="275">
        <v>334</v>
      </c>
      <c r="C47" s="275">
        <v>56.3</v>
      </c>
      <c r="D47" s="275">
        <v>45.6</v>
      </c>
    </row>
    <row r="48" spans="1:4">
      <c r="A48" s="150" t="s">
        <v>658</v>
      </c>
      <c r="B48" s="275">
        <v>412000</v>
      </c>
      <c r="C48" s="275">
        <v>99600</v>
      </c>
      <c r="D48" s="275">
        <v>55500</v>
      </c>
    </row>
    <row r="49" spans="1:19">
      <c r="A49" s="150" t="s">
        <v>1189</v>
      </c>
      <c r="B49" s="275">
        <v>87400</v>
      </c>
      <c r="C49" s="275">
        <v>19400</v>
      </c>
      <c r="D49" s="275">
        <v>16300</v>
      </c>
    </row>
    <row r="50" spans="1:19">
      <c r="A50" s="150" t="s">
        <v>107</v>
      </c>
      <c r="B50" s="275">
        <v>1860</v>
      </c>
      <c r="C50" s="275">
        <v>243</v>
      </c>
      <c r="D50" s="275">
        <v>214</v>
      </c>
    </row>
    <row r="51" spans="1:19">
      <c r="A51" s="150" t="s">
        <v>1187</v>
      </c>
      <c r="B51" s="275">
        <v>75.2</v>
      </c>
      <c r="C51" s="275">
        <v>4.8600000000000003</v>
      </c>
      <c r="D51" s="275">
        <v>3.91</v>
      </c>
    </row>
    <row r="52" spans="1:19">
      <c r="A52" s="150" t="s">
        <v>1234</v>
      </c>
      <c r="B52" s="275">
        <v>64800</v>
      </c>
      <c r="C52" s="275">
        <v>37500</v>
      </c>
      <c r="D52" s="275">
        <v>6050</v>
      </c>
    </row>
    <row r="53" spans="1:19" ht="25.5">
      <c r="A53" s="150" t="s">
        <v>1124</v>
      </c>
      <c r="B53" s="275">
        <v>12700</v>
      </c>
      <c r="C53" s="275">
        <v>2140</v>
      </c>
      <c r="D53" s="275">
        <v>1690</v>
      </c>
    </row>
    <row r="54" spans="1:19">
      <c r="A54" s="150" t="s">
        <v>1125</v>
      </c>
      <c r="B54" s="275">
        <v>8520</v>
      </c>
      <c r="C54" s="275">
        <v>2790</v>
      </c>
      <c r="D54" s="275">
        <v>2360</v>
      </c>
      <c r="P54" t="s">
        <v>31</v>
      </c>
    </row>
    <row r="55" spans="1:19" ht="28.5">
      <c r="A55" s="150" t="s">
        <v>1237</v>
      </c>
      <c r="B55" s="275">
        <v>176000</v>
      </c>
      <c r="C55" s="275">
        <v>97100</v>
      </c>
      <c r="D55" s="275">
        <v>18300</v>
      </c>
      <c r="P55" s="150" t="s">
        <v>430</v>
      </c>
      <c r="Q55" s="47" t="s">
        <v>1001</v>
      </c>
      <c r="R55" s="147" t="s">
        <v>204</v>
      </c>
      <c r="S55" s="47" t="s">
        <v>76</v>
      </c>
    </row>
    <row r="56" spans="1:19">
      <c r="A56" s="150" t="s">
        <v>1238</v>
      </c>
      <c r="B56" s="275">
        <v>567000</v>
      </c>
      <c r="C56" s="275">
        <v>75200</v>
      </c>
      <c r="D56" s="275">
        <v>56900</v>
      </c>
      <c r="P56" s="150" t="s">
        <v>108</v>
      </c>
      <c r="Q56" s="308">
        <v>38300</v>
      </c>
      <c r="R56" s="308">
        <v>6660</v>
      </c>
      <c r="S56" s="308">
        <v>31700</v>
      </c>
    </row>
    <row r="57" spans="1:19" ht="25.5">
      <c r="P57" s="150" t="s">
        <v>109</v>
      </c>
      <c r="Q57" s="47">
        <v>235</v>
      </c>
      <c r="R57" s="308">
        <v>32.1</v>
      </c>
      <c r="S57" s="47">
        <v>203</v>
      </c>
    </row>
    <row r="58" spans="1:19" ht="30">
      <c r="A58" s="59" t="s">
        <v>270</v>
      </c>
      <c r="B58" s="47" t="s">
        <v>956</v>
      </c>
      <c r="C58" s="47" t="s">
        <v>202</v>
      </c>
      <c r="P58" s="150" t="s">
        <v>658</v>
      </c>
      <c r="Q58" s="308">
        <v>321000</v>
      </c>
      <c r="R58" s="308">
        <v>96500</v>
      </c>
      <c r="S58" s="308">
        <v>225000</v>
      </c>
    </row>
    <row r="59" spans="1:19" ht="25.5">
      <c r="A59" s="147" t="s">
        <v>56</v>
      </c>
      <c r="B59" s="302">
        <f>(2660000/$B$75)*100</f>
        <v>0.83125000000000004</v>
      </c>
      <c r="C59" s="47"/>
      <c r="P59" s="150" t="s">
        <v>1189</v>
      </c>
      <c r="Q59" s="308">
        <v>61100</v>
      </c>
      <c r="R59" s="308">
        <v>10500</v>
      </c>
      <c r="S59" s="308">
        <v>50700</v>
      </c>
    </row>
    <row r="60" spans="1:19">
      <c r="A60" s="147" t="s">
        <v>57</v>
      </c>
      <c r="B60" s="302">
        <f>(498000/$B$75)*100</f>
        <v>0.15562499999999999</v>
      </c>
      <c r="C60" s="47"/>
      <c r="P60" s="150" t="s">
        <v>107</v>
      </c>
      <c r="Q60" s="308">
        <v>1260</v>
      </c>
      <c r="R60" s="308">
        <v>90.2</v>
      </c>
      <c r="S60" s="308">
        <v>1170</v>
      </c>
    </row>
    <row r="61" spans="1:19" ht="25.5">
      <c r="A61" s="147" t="s">
        <v>58</v>
      </c>
      <c r="B61" s="302">
        <f>(166000/$B$75)*100</f>
        <v>5.1874999999999998E-2</v>
      </c>
      <c r="C61" s="47"/>
      <c r="P61" s="150" t="s">
        <v>1187</v>
      </c>
      <c r="Q61" s="47">
        <v>50.8</v>
      </c>
      <c r="R61" s="308">
        <v>2.88</v>
      </c>
      <c r="S61" s="47">
        <v>47.9</v>
      </c>
    </row>
    <row r="62" spans="1:19">
      <c r="A62" s="147" t="s">
        <v>199</v>
      </c>
      <c r="B62" s="302">
        <f>(811000/$B$75)*100</f>
        <v>0.25343750000000004</v>
      </c>
      <c r="C62" s="47"/>
      <c r="P62" s="150" t="s">
        <v>1234</v>
      </c>
      <c r="Q62" s="308">
        <v>69900</v>
      </c>
      <c r="R62" s="308">
        <v>49600</v>
      </c>
      <c r="S62" s="308">
        <v>20200</v>
      </c>
    </row>
    <row r="63" spans="1:19" ht="51">
      <c r="A63" s="147" t="s">
        <v>201</v>
      </c>
      <c r="B63" s="302">
        <f>(135000/$B$75)*100</f>
        <v>4.2187500000000003E-2</v>
      </c>
      <c r="C63" s="47"/>
      <c r="P63" s="150" t="s">
        <v>1124</v>
      </c>
      <c r="Q63" s="308">
        <v>8940</v>
      </c>
      <c r="R63" s="308">
        <v>1270</v>
      </c>
      <c r="S63" s="308">
        <v>7670</v>
      </c>
    </row>
    <row r="64" spans="1:19">
      <c r="A64" s="147" t="s">
        <v>200</v>
      </c>
      <c r="B64" s="302">
        <f>(54100/$B$75)*100</f>
        <v>1.6906250000000001E-2</v>
      </c>
      <c r="C64" s="304">
        <f>SUM(B59:B64)</f>
        <v>1.35128125</v>
      </c>
      <c r="P64" s="150" t="s">
        <v>1125</v>
      </c>
      <c r="Q64" s="308">
        <v>7610</v>
      </c>
      <c r="R64" s="308">
        <v>1320</v>
      </c>
      <c r="S64" s="308">
        <v>6290</v>
      </c>
    </row>
    <row r="65" spans="1:19" ht="16.5" customHeight="1">
      <c r="A65" s="147" t="s">
        <v>1102</v>
      </c>
      <c r="B65" s="302">
        <f>+(33400000/$B$75)*100</f>
        <v>10.4375</v>
      </c>
      <c r="C65" s="47"/>
      <c r="P65" s="150" t="s">
        <v>1237</v>
      </c>
      <c r="Q65" s="308">
        <v>185000</v>
      </c>
      <c r="R65" s="308">
        <v>126000</v>
      </c>
      <c r="S65" s="308">
        <v>59100</v>
      </c>
    </row>
    <row r="66" spans="1:19" ht="25.5">
      <c r="A66" s="147" t="s">
        <v>1103</v>
      </c>
      <c r="B66" s="302">
        <f>(64200000/$B$75)*100</f>
        <v>20.0625</v>
      </c>
      <c r="C66" s="304">
        <f>(B66+B65)</f>
        <v>30.5</v>
      </c>
      <c r="P66" s="150" t="s">
        <v>1238</v>
      </c>
      <c r="Q66" s="308">
        <v>398000</v>
      </c>
      <c r="R66" s="308">
        <v>52000</v>
      </c>
      <c r="S66" s="308">
        <v>346000</v>
      </c>
    </row>
    <row r="67" spans="1:19">
      <c r="A67" s="147" t="s">
        <v>68</v>
      </c>
      <c r="B67" s="302">
        <f>(134000000/$B$75)*100</f>
        <v>41.875</v>
      </c>
      <c r="C67" s="47"/>
      <c r="P67" s="163" t="s">
        <v>32</v>
      </c>
      <c r="Q67" s="155" t="s">
        <v>33</v>
      </c>
      <c r="R67" s="155" t="s">
        <v>34</v>
      </c>
    </row>
    <row r="68" spans="1:19" ht="25.5">
      <c r="A68" s="147" t="s">
        <v>69</v>
      </c>
      <c r="B68" s="302">
        <f>(25100000/$B$75)*100</f>
        <v>7.8437499999999991</v>
      </c>
      <c r="C68" s="47"/>
      <c r="P68" s="150" t="s">
        <v>430</v>
      </c>
      <c r="Q68" s="147" t="s">
        <v>1001</v>
      </c>
      <c r="R68" s="147" t="s">
        <v>204</v>
      </c>
      <c r="S68" s="147" t="s">
        <v>76</v>
      </c>
    </row>
    <row r="69" spans="1:19">
      <c r="A69" s="147" t="s">
        <v>70</v>
      </c>
      <c r="B69" s="302">
        <f>(8350000/$B$75)*100</f>
        <v>2.609375</v>
      </c>
      <c r="C69" s="47"/>
      <c r="P69" s="150" t="s">
        <v>108</v>
      </c>
      <c r="Q69" s="73">
        <f>(15300000/$B$75)*100</f>
        <v>4.78125</v>
      </c>
      <c r="R69" s="73">
        <f>(266000/$B$75)*100</f>
        <v>8.3124999999999991E-2</v>
      </c>
      <c r="S69" s="73">
        <f>(12700000/$B$75)*100</f>
        <v>3.96875</v>
      </c>
    </row>
    <row r="70" spans="1:19" ht="25.5">
      <c r="A70" s="147" t="s">
        <v>71</v>
      </c>
      <c r="B70" s="302">
        <f>(40800000/$B$75)*100</f>
        <v>12.75</v>
      </c>
      <c r="C70" s="47"/>
      <c r="P70" s="150" t="s">
        <v>109</v>
      </c>
      <c r="Q70" s="73">
        <f>(94000/$B$75)*100</f>
        <v>2.9375000000000002E-2</v>
      </c>
      <c r="R70" s="73">
        <f>(12800/$B$75)*100</f>
        <v>4.0000000000000001E-3</v>
      </c>
      <c r="S70" s="73">
        <f>(81200/$B$75)*100</f>
        <v>2.5375000000000002E-2</v>
      </c>
    </row>
    <row r="71" spans="1:19" ht="25.5">
      <c r="A71" s="147" t="s">
        <v>72</v>
      </c>
      <c r="B71" s="302">
        <f>(6810000/$B$75)*100</f>
        <v>2.1281250000000003</v>
      </c>
      <c r="C71" s="47"/>
      <c r="P71" s="150" t="s">
        <v>658</v>
      </c>
      <c r="Q71" s="73">
        <f>(128000000/$B$75)*100</f>
        <v>40</v>
      </c>
      <c r="R71" s="73">
        <f>(38600000/$B$75)*100</f>
        <v>12.0625</v>
      </c>
      <c r="S71" s="73">
        <f>(89800000/$B$75)*100</f>
        <v>28.0625</v>
      </c>
    </row>
    <row r="72" spans="1:19" ht="25.5">
      <c r="A72" s="147" t="s">
        <v>73</v>
      </c>
      <c r="B72" s="302">
        <f>(2720000/$B$75)*100</f>
        <v>0.85000000000000009</v>
      </c>
      <c r="C72" s="304">
        <f>SUM(B67:B72)</f>
        <v>68.056249999999991</v>
      </c>
      <c r="P72" s="150" t="s">
        <v>1189</v>
      </c>
      <c r="Q72" s="73">
        <f>(24500000/$B$75)*100</f>
        <v>7.6562500000000009</v>
      </c>
      <c r="R72" s="73">
        <f>(4190000/$B$75)*100</f>
        <v>1.309375</v>
      </c>
      <c r="S72" s="73">
        <f>(20300000/$B$75)*100</f>
        <v>6.3437499999999991</v>
      </c>
    </row>
    <row r="73" spans="1:19">
      <c r="A73" s="147" t="s">
        <v>203</v>
      </c>
      <c r="B73" s="302">
        <f>(566000/$B$75)*100</f>
        <v>0.176875</v>
      </c>
      <c r="C73" s="304">
        <f>(1*B73)</f>
        <v>0.176875</v>
      </c>
      <c r="P73" s="150" t="s">
        <v>107</v>
      </c>
      <c r="Q73" s="73">
        <f>(504000/$B$75)*100</f>
        <v>0.1575</v>
      </c>
      <c r="R73" s="73">
        <f>(36100/$B$75)*100</f>
        <v>1.128125E-2</v>
      </c>
      <c r="S73" s="73">
        <f>(468000/$B$75)*100</f>
        <v>0.14624999999999999</v>
      </c>
    </row>
    <row r="74" spans="1:19" ht="25.5">
      <c r="A74" s="147" t="s">
        <v>74</v>
      </c>
      <c r="B74" s="303">
        <f>SUM(B59:B73)</f>
        <v>100.08440624999999</v>
      </c>
      <c r="C74" s="304">
        <f>SUM(C59:C73)</f>
        <v>100.08440624999999</v>
      </c>
      <c r="P74" s="150" t="s">
        <v>1187</v>
      </c>
      <c r="Q74" s="73">
        <f>(20300/$B$75)*100</f>
        <v>6.3437500000000004E-3</v>
      </c>
      <c r="R74" s="73">
        <f>(1150/$B$75)*100</f>
        <v>3.5937499999999999E-4</v>
      </c>
      <c r="S74" s="73">
        <f>(19200/$B$75)*100</f>
        <v>6.0000000000000001E-3</v>
      </c>
    </row>
    <row r="75" spans="1:19" ht="25.5">
      <c r="A75" s="147" t="s">
        <v>1101</v>
      </c>
      <c r="B75" s="300">
        <v>320000000</v>
      </c>
      <c r="P75" s="150" t="s">
        <v>1234</v>
      </c>
      <c r="Q75" s="73">
        <f>(27900000/$B$75)*100</f>
        <v>8.71875</v>
      </c>
      <c r="R75" s="73">
        <f>(19900000/$B$75)*100</f>
        <v>6.21875</v>
      </c>
      <c r="S75" s="73">
        <f>(8090000/$B$75)*100</f>
        <v>2.5281250000000002</v>
      </c>
    </row>
    <row r="76" spans="1:19" ht="51">
      <c r="P76" s="150" t="s">
        <v>1124</v>
      </c>
      <c r="Q76" s="73">
        <f>(3580000/$B$75)*100</f>
        <v>1.1187499999999999</v>
      </c>
      <c r="R76" s="73">
        <f>(507000/$B$75)*100</f>
        <v>0.15843750000000001</v>
      </c>
      <c r="S76" s="73">
        <f>(3070000/$B$75)*100</f>
        <v>0.95937499999999998</v>
      </c>
    </row>
    <row r="77" spans="1:19" ht="41.25" customHeight="1">
      <c r="A77" s="147"/>
      <c r="B77" s="47" t="s">
        <v>1105</v>
      </c>
      <c r="C77" s="147" t="s">
        <v>37</v>
      </c>
      <c r="P77" s="150" t="s">
        <v>1125</v>
      </c>
      <c r="Q77" s="73">
        <f>(3040000/$B$75)*100</f>
        <v>0.95</v>
      </c>
      <c r="R77" s="73">
        <f>(528000/$B$75)*100</f>
        <v>0.16500000000000001</v>
      </c>
      <c r="S77" s="73">
        <f>(2520000/$B$75)*100</f>
        <v>0.78749999999999998</v>
      </c>
    </row>
    <row r="78" spans="1:19" ht="25.5">
      <c r="A78" s="147" t="s">
        <v>954</v>
      </c>
      <c r="B78" s="72">
        <f>(4320000/$B$75)*100</f>
        <v>1.35</v>
      </c>
      <c r="C78" s="302">
        <f>(5717000/$B$75)*100</f>
        <v>1.7865625000000001</v>
      </c>
      <c r="P78" s="150" t="s">
        <v>1237</v>
      </c>
      <c r="Q78" s="73">
        <f>(37000000/$B$75)*100</f>
        <v>11.5625</v>
      </c>
      <c r="R78" s="73">
        <f>(25200000/$B$75)*100</f>
        <v>7.875</v>
      </c>
      <c r="S78" s="73">
        <f>(11800000/$B$75)*100</f>
        <v>3.6875</v>
      </c>
    </row>
    <row r="79" spans="1:19" ht="25.5">
      <c r="A79" s="147" t="s">
        <v>1104</v>
      </c>
      <c r="B79" s="72">
        <f>(97600000/$B$75)*100</f>
        <v>30.5</v>
      </c>
      <c r="C79" s="302">
        <f>(64430000/$B$75)*100</f>
        <v>20.134374999999999</v>
      </c>
      <c r="P79" s="150" t="s">
        <v>1238</v>
      </c>
      <c r="Q79" s="73">
        <f>(79700000/$B$75)*100</f>
        <v>24.90625</v>
      </c>
      <c r="R79" s="73">
        <f>(10400000/$B$75)*100</f>
        <v>3.25</v>
      </c>
      <c r="S79" s="73">
        <f>(69300000/$B$75)*100</f>
        <v>21.65625</v>
      </c>
    </row>
    <row r="80" spans="1:19">
      <c r="A80" s="147" t="s">
        <v>76</v>
      </c>
      <c r="B80" s="72">
        <f>($C$72+$C$73)</f>
        <v>68.233124999999987</v>
      </c>
      <c r="C80" s="302">
        <f>(334000000/$B$75)*100</f>
        <v>104.375</v>
      </c>
      <c r="P80" s="142" t="s">
        <v>646</v>
      </c>
      <c r="Q80" s="73">
        <f>SUM(Q69:Q79)</f>
        <v>99.886968749999994</v>
      </c>
      <c r="R80" s="73">
        <f>SUM(R69:R79)</f>
        <v>31.137828125000002</v>
      </c>
      <c r="S80" s="73">
        <f>SUM(S69:S79)</f>
        <v>68.171375000000012</v>
      </c>
    </row>
    <row r="81" spans="1:19">
      <c r="A81" s="147" t="s">
        <v>646</v>
      </c>
      <c r="B81" s="302">
        <f>SUM(B78:B80)</f>
        <v>100.083125</v>
      </c>
      <c r="C81" s="302">
        <f>SUM(C78:C80)</f>
        <v>126.29593749999999</v>
      </c>
    </row>
    <row r="83" spans="1:19" ht="46.5" customHeight="1">
      <c r="A83" s="59" t="s">
        <v>271</v>
      </c>
      <c r="B83" s="47" t="s">
        <v>1079</v>
      </c>
      <c r="C83" t="s">
        <v>202</v>
      </c>
    </row>
    <row r="84" spans="1:19" ht="25.5">
      <c r="A84" s="147" t="s">
        <v>56</v>
      </c>
      <c r="B84" s="302">
        <f>(2660000/$B$75)*100</f>
        <v>0.83125000000000004</v>
      </c>
      <c r="C84" s="73"/>
      <c r="P84" s="150" t="s">
        <v>52</v>
      </c>
      <c r="Q84" s="275">
        <v>320000000</v>
      </c>
      <c r="R84" s="275">
        <v>190000000</v>
      </c>
      <c r="S84" s="275">
        <v>404000000</v>
      </c>
    </row>
    <row r="85" spans="1:19" ht="25.5">
      <c r="A85" s="147" t="s">
        <v>57</v>
      </c>
      <c r="B85" s="302">
        <f>(498000/$B$75)*100</f>
        <v>0.15562499999999999</v>
      </c>
      <c r="C85" s="73"/>
      <c r="P85" s="163" t="s">
        <v>35</v>
      </c>
      <c r="Q85" s="155" t="s">
        <v>36</v>
      </c>
      <c r="R85" s="155"/>
    </row>
    <row r="86" spans="1:19" ht="28.5">
      <c r="A86" s="147" t="s">
        <v>58</v>
      </c>
      <c r="B86" s="302">
        <f>(166000/$B$75)*100</f>
        <v>5.1874999999999998E-2</v>
      </c>
      <c r="C86" s="73"/>
      <c r="P86" s="150" t="s">
        <v>430</v>
      </c>
      <c r="Q86" s="47" t="s">
        <v>1001</v>
      </c>
      <c r="R86" s="147" t="s">
        <v>204</v>
      </c>
      <c r="S86" s="47" t="s">
        <v>76</v>
      </c>
    </row>
    <row r="87" spans="1:19">
      <c r="A87" s="147" t="s">
        <v>199</v>
      </c>
      <c r="B87" s="302">
        <f>(811000/$B$75)*100</f>
        <v>0.25343750000000004</v>
      </c>
      <c r="C87" s="73"/>
      <c r="P87" s="150" t="s">
        <v>108</v>
      </c>
      <c r="Q87" s="308">
        <v>26700</v>
      </c>
      <c r="R87" s="308">
        <v>1720</v>
      </c>
      <c r="S87" s="308">
        <v>25000</v>
      </c>
    </row>
    <row r="88" spans="1:19" ht="25.5">
      <c r="A88" s="147" t="s">
        <v>201</v>
      </c>
      <c r="B88" s="302">
        <f>(135000/$B$75)*100</f>
        <v>4.2187500000000003E-2</v>
      </c>
      <c r="C88" s="73"/>
      <c r="P88" s="150" t="s">
        <v>109</v>
      </c>
      <c r="Q88" s="47">
        <v>172</v>
      </c>
      <c r="R88" s="308">
        <v>9.99</v>
      </c>
      <c r="S88" s="47">
        <v>162</v>
      </c>
    </row>
    <row r="89" spans="1:19" ht="25.5">
      <c r="A89" s="147" t="s">
        <v>200</v>
      </c>
      <c r="B89" s="302">
        <f>+(54100/$B$75)*100</f>
        <v>1.6906250000000001E-2</v>
      </c>
      <c r="C89" s="73">
        <f>SUM(B84:B89)</f>
        <v>1.35128125</v>
      </c>
      <c r="P89" s="150" t="s">
        <v>658</v>
      </c>
      <c r="Q89" s="308">
        <v>196000</v>
      </c>
      <c r="R89" s="308">
        <v>17100</v>
      </c>
      <c r="S89" s="308">
        <v>179000</v>
      </c>
    </row>
    <row r="90" spans="1:19" ht="25.5">
      <c r="A90" s="147" t="s">
        <v>1080</v>
      </c>
      <c r="B90" s="302">
        <f>+(12300000/$B$75)*100</f>
        <v>3.84375</v>
      </c>
      <c r="C90" s="73">
        <f>(1*B90)</f>
        <v>3.84375</v>
      </c>
      <c r="P90" s="150" t="s">
        <v>1189</v>
      </c>
      <c r="Q90" s="308">
        <v>45100</v>
      </c>
      <c r="R90" s="308">
        <v>3270</v>
      </c>
      <c r="S90" s="308">
        <v>41900</v>
      </c>
    </row>
    <row r="91" spans="1:19">
      <c r="A91" s="147" t="s">
        <v>68</v>
      </c>
      <c r="B91" s="302">
        <f>(107000000/$B$75)*100</f>
        <v>33.4375</v>
      </c>
      <c r="C91" s="73"/>
      <c r="P91" s="150" t="s">
        <v>107</v>
      </c>
      <c r="Q91" s="308">
        <v>954</v>
      </c>
      <c r="R91" s="308">
        <v>28.2</v>
      </c>
      <c r="S91" s="308">
        <v>926</v>
      </c>
    </row>
    <row r="92" spans="1:19" ht="25.5">
      <c r="A92" s="147" t="s">
        <v>69</v>
      </c>
      <c r="B92" s="302">
        <f>(20000000/$B$75)*100</f>
        <v>6.25</v>
      </c>
      <c r="C92" s="73"/>
      <c r="P92" s="150" t="s">
        <v>1187</v>
      </c>
      <c r="Q92" s="47">
        <v>38.799999999999997</v>
      </c>
      <c r="R92" s="308">
        <v>0.84499999999999997</v>
      </c>
      <c r="S92" s="47">
        <v>37.9</v>
      </c>
    </row>
    <row r="93" spans="1:19">
      <c r="A93" s="147" t="s">
        <v>70</v>
      </c>
      <c r="B93" s="302">
        <f>(6660000/$B$75)*100</f>
        <v>2.0812500000000003</v>
      </c>
      <c r="C93" s="73"/>
      <c r="P93" s="150" t="s">
        <v>1234</v>
      </c>
      <c r="Q93" s="308">
        <v>25700</v>
      </c>
      <c r="R93" s="308">
        <v>9720</v>
      </c>
      <c r="S93" s="308">
        <v>15900</v>
      </c>
    </row>
    <row r="94" spans="1:19" ht="51">
      <c r="A94" s="147" t="s">
        <v>71</v>
      </c>
      <c r="B94" s="302">
        <f>(32600000/$B$75)*100</f>
        <v>10.1875</v>
      </c>
      <c r="C94" s="73"/>
      <c r="P94" s="150" t="s">
        <v>1124</v>
      </c>
      <c r="Q94" s="308">
        <v>6600</v>
      </c>
      <c r="R94" s="308">
        <v>427</v>
      </c>
      <c r="S94" s="308">
        <v>6180</v>
      </c>
    </row>
    <row r="95" spans="1:19">
      <c r="A95" s="147" t="s">
        <v>72</v>
      </c>
      <c r="B95" s="302">
        <f>(5430000/$B$75)*100</f>
        <v>1.6968750000000001</v>
      </c>
      <c r="C95" s="73"/>
      <c r="P95" s="150" t="s">
        <v>1125</v>
      </c>
      <c r="Q95" s="308">
        <v>5650</v>
      </c>
      <c r="R95" s="308">
        <v>377</v>
      </c>
      <c r="S95" s="308">
        <v>5280</v>
      </c>
    </row>
    <row r="96" spans="1:19">
      <c r="A96" s="147" t="s">
        <v>73</v>
      </c>
      <c r="B96" s="302">
        <f>(2170000/$B$75)*100</f>
        <v>0.67812499999999998</v>
      </c>
      <c r="C96" s="73">
        <f>SUM(B91:B96)</f>
        <v>54.331249999999997</v>
      </c>
      <c r="P96" s="150" t="s">
        <v>1237</v>
      </c>
      <c r="Q96" s="308">
        <v>49900</v>
      </c>
      <c r="R96" s="308">
        <v>3430</v>
      </c>
      <c r="S96" s="308">
        <v>46500</v>
      </c>
    </row>
    <row r="97" spans="1:19" ht="25.5">
      <c r="A97" s="147" t="s">
        <v>203</v>
      </c>
      <c r="B97" s="302">
        <f>(566000/$B$75)*100</f>
        <v>0.176875</v>
      </c>
      <c r="C97" s="73">
        <f>(1*B97)</f>
        <v>0.176875</v>
      </c>
      <c r="P97" s="150" t="s">
        <v>1238</v>
      </c>
      <c r="Q97" s="308">
        <v>291000</v>
      </c>
      <c r="R97" s="308">
        <v>14600</v>
      </c>
      <c r="S97" s="308">
        <v>276000</v>
      </c>
    </row>
    <row r="98" spans="1:19" ht="25.5">
      <c r="A98" s="147" t="s">
        <v>74</v>
      </c>
      <c r="B98" s="303">
        <f>SUM(B84:B97)</f>
        <v>59.703156249999999</v>
      </c>
      <c r="C98" s="73">
        <f>SUM(C84:C97)</f>
        <v>59.703156249999999</v>
      </c>
      <c r="P98" s="163" t="s">
        <v>35</v>
      </c>
      <c r="Q98" s="155" t="s">
        <v>33</v>
      </c>
      <c r="R98" s="155" t="s">
        <v>34</v>
      </c>
    </row>
    <row r="99" spans="1:19" ht="25.5">
      <c r="A99" s="147"/>
      <c r="B99" s="300"/>
      <c r="P99" s="150" t="s">
        <v>430</v>
      </c>
      <c r="Q99" s="147" t="s">
        <v>1001</v>
      </c>
      <c r="R99" s="147" t="s">
        <v>204</v>
      </c>
      <c r="S99" s="147" t="s">
        <v>76</v>
      </c>
    </row>
    <row r="100" spans="1:19" ht="25.5">
      <c r="A100" s="147" t="s">
        <v>1101</v>
      </c>
      <c r="B100" s="300">
        <v>319000000</v>
      </c>
      <c r="P100" s="150" t="s">
        <v>108</v>
      </c>
      <c r="Q100" s="73">
        <f>(10700000/$B$75)*100</f>
        <v>3.34375</v>
      </c>
      <c r="R100" s="73">
        <f>(686000/$B$75)*100</f>
        <v>0.21437499999999998</v>
      </c>
      <c r="S100" s="73">
        <f>(9980000/$B$75)*100</f>
        <v>3.1187499999999999</v>
      </c>
    </row>
    <row r="101" spans="1:19" ht="25.5">
      <c r="P101" s="150" t="s">
        <v>109</v>
      </c>
      <c r="Q101" s="73">
        <f>(68900/$B$75)*100</f>
        <v>2.1531250000000002E-2</v>
      </c>
      <c r="R101" s="73">
        <f>(3990/$B$75)*100</f>
        <v>1.2468749999999999E-3</v>
      </c>
      <c r="S101" s="73">
        <f>(64900/$B$75)*100</f>
        <v>2.0281250000000001E-2</v>
      </c>
    </row>
    <row r="102" spans="1:19" ht="38.25">
      <c r="A102" s="147"/>
      <c r="B102" s="47" t="s">
        <v>1105</v>
      </c>
      <c r="C102" s="47" t="s">
        <v>1079</v>
      </c>
      <c r="D102" s="147" t="s">
        <v>37</v>
      </c>
      <c r="P102" s="150" t="s">
        <v>658</v>
      </c>
      <c r="Q102" s="73">
        <f>(78300000/$B$75)*100</f>
        <v>24.46875</v>
      </c>
      <c r="R102" s="73">
        <f>(6820000/$B$75)*100</f>
        <v>2.1312500000000001</v>
      </c>
      <c r="S102" s="73">
        <f>(71500000/$B$75)*100</f>
        <v>22.34375</v>
      </c>
    </row>
    <row r="103" spans="1:19" ht="25.5">
      <c r="A103" s="147" t="s">
        <v>954</v>
      </c>
      <c r="B103" s="72">
        <f>(4320000/$B$75)*100</f>
        <v>1.35</v>
      </c>
      <c r="C103" s="72">
        <f>(4320000/$B$75)*100</f>
        <v>1.35</v>
      </c>
      <c r="D103" s="302">
        <f>(5717000/$B$75)*100</f>
        <v>1.7865625000000001</v>
      </c>
      <c r="P103" s="150" t="s">
        <v>1189</v>
      </c>
      <c r="Q103" s="73">
        <f>(18100000/$B$75)*100</f>
        <v>5.65625</v>
      </c>
      <c r="R103" s="73">
        <f>(1310000/$B$75)*100</f>
        <v>0.40937500000000004</v>
      </c>
      <c r="S103" s="73">
        <f>(16700000/$B$75)*100</f>
        <v>5.21875</v>
      </c>
    </row>
    <row r="104" spans="1:19" ht="25.5">
      <c r="A104" s="147" t="s">
        <v>1104</v>
      </c>
      <c r="B104" s="72">
        <f>(97600000/$B$75)*100</f>
        <v>30.5</v>
      </c>
      <c r="C104" s="72">
        <f>(12300000/$B$75)*100</f>
        <v>3.84375</v>
      </c>
      <c r="D104" s="302">
        <f>(64430000/$B$75)*100</f>
        <v>20.134374999999999</v>
      </c>
      <c r="P104" s="150" t="s">
        <v>107</v>
      </c>
      <c r="Q104" s="73">
        <f>(382000/$B$75)*100</f>
        <v>0.119375</v>
      </c>
      <c r="R104" s="73">
        <f>(11300/$B$75)*100</f>
        <v>3.5312499999999997E-3</v>
      </c>
      <c r="S104" s="73">
        <f>(370000/$B$75)*100</f>
        <v>0.11562499999999999</v>
      </c>
    </row>
    <row r="105" spans="1:19" ht="25.5">
      <c r="A105" s="147" t="s">
        <v>76</v>
      </c>
      <c r="B105" s="72">
        <f>($C$72+$C$73)</f>
        <v>68.233124999999987</v>
      </c>
      <c r="C105" s="72">
        <f>($C$96+$C$97)</f>
        <v>54.508125</v>
      </c>
      <c r="D105" s="302">
        <f>(334000000/$B$75)*100</f>
        <v>104.375</v>
      </c>
      <c r="P105" s="150" t="s">
        <v>1187</v>
      </c>
      <c r="Q105" s="73">
        <f>(15500/$B$75)*100</f>
        <v>4.84375E-3</v>
      </c>
      <c r="R105" s="73">
        <f>(338/$B$75)*100</f>
        <v>1.0562500000000001E-4</v>
      </c>
      <c r="S105" s="73">
        <f>(15200/$B$75)*100</f>
        <v>4.7499999999999999E-3</v>
      </c>
    </row>
    <row r="106" spans="1:19">
      <c r="A106" s="147" t="s">
        <v>646</v>
      </c>
      <c r="B106" s="302">
        <f>SUM(B103:B105)</f>
        <v>100.083125</v>
      </c>
      <c r="C106" s="304">
        <f>SUM(C103:C105)</f>
        <v>59.701875000000001</v>
      </c>
      <c r="D106" s="302">
        <f>SUM(D103:D105)</f>
        <v>126.29593749999999</v>
      </c>
      <c r="P106" s="150" t="s">
        <v>1234</v>
      </c>
      <c r="Q106" s="73">
        <f>(10300000/$B$75)*100</f>
        <v>3.21875</v>
      </c>
      <c r="R106" s="73">
        <f>(3890000/$B$75)*100</f>
        <v>1.215625</v>
      </c>
      <c r="S106" s="73">
        <f>(6370000/$B$75)*100</f>
        <v>1.9906250000000001</v>
      </c>
    </row>
    <row r="107" spans="1:19" ht="51">
      <c r="A107" s="196" t="s">
        <v>706</v>
      </c>
      <c r="P107" s="150" t="s">
        <v>1124</v>
      </c>
      <c r="Q107" s="73">
        <f>(2640000/$B$75)*100</f>
        <v>0.82500000000000007</v>
      </c>
      <c r="R107" s="73">
        <f>(171000/$B$75)*100</f>
        <v>5.3437499999999999E-2</v>
      </c>
      <c r="S107" s="73">
        <f>(2470000/$B$75)*100</f>
        <v>0.77187499999999998</v>
      </c>
    </row>
    <row r="108" spans="1:19" ht="38.25">
      <c r="A108" s="150" t="s">
        <v>430</v>
      </c>
      <c r="B108" s="47" t="s">
        <v>1105</v>
      </c>
      <c r="C108" s="147" t="s">
        <v>1079</v>
      </c>
      <c r="D108" s="147" t="s">
        <v>1003</v>
      </c>
      <c r="P108" s="150" t="s">
        <v>1125</v>
      </c>
      <c r="Q108" s="73">
        <f>(2260000/$B$75)*100</f>
        <v>0.70625000000000004</v>
      </c>
      <c r="R108" s="73">
        <f>(151000/$B$75)*100</f>
        <v>4.71875E-2</v>
      </c>
      <c r="S108" s="73">
        <f>(2110000/$B$75)*100</f>
        <v>0.65937499999999993</v>
      </c>
    </row>
    <row r="109" spans="1:19">
      <c r="A109" s="150" t="s">
        <v>108</v>
      </c>
      <c r="B109" s="305">
        <v>38300</v>
      </c>
      <c r="C109" s="305">
        <v>26700</v>
      </c>
      <c r="D109" s="275">
        <v>52500</v>
      </c>
      <c r="P109" s="150" t="s">
        <v>1237</v>
      </c>
      <c r="Q109" s="73">
        <f>(9990000/$B$75)*100</f>
        <v>3.1218750000000002</v>
      </c>
      <c r="R109" s="73">
        <f>(686000/$B$75)*100</f>
        <v>0.21437499999999998</v>
      </c>
      <c r="S109" s="73">
        <f>(9300000/$B$75)*100</f>
        <v>2.90625</v>
      </c>
    </row>
    <row r="110" spans="1:19" ht="25.5">
      <c r="A110" s="150" t="s">
        <v>109</v>
      </c>
      <c r="B110" s="69">
        <v>235</v>
      </c>
      <c r="C110" s="305">
        <v>173</v>
      </c>
      <c r="D110" s="275">
        <v>333</v>
      </c>
      <c r="P110" s="150" t="s">
        <v>1238</v>
      </c>
      <c r="Q110" s="73">
        <f>(58100000/$B$75)*100</f>
        <v>18.15625</v>
      </c>
      <c r="R110" s="73">
        <f>(2930000/$B$75)*100</f>
        <v>0.91562499999999991</v>
      </c>
      <c r="S110" s="73">
        <f>(55200000/$B$75)*100</f>
        <v>17.25</v>
      </c>
    </row>
    <row r="111" spans="1:19">
      <c r="A111" s="150" t="s">
        <v>658</v>
      </c>
      <c r="B111" s="305">
        <v>321000</v>
      </c>
      <c r="C111" s="305">
        <v>196500</v>
      </c>
      <c r="D111" s="275">
        <v>412000</v>
      </c>
      <c r="P111" s="142" t="s">
        <v>646</v>
      </c>
      <c r="Q111" s="73">
        <f>SUM(Q100:Q110)</f>
        <v>59.642624999999995</v>
      </c>
      <c r="R111" s="73">
        <f>SUM(R100:R110)</f>
        <v>5.2061337500000011</v>
      </c>
      <c r="S111" s="73">
        <f>SUM(S100:S110)</f>
        <v>54.400031249999998</v>
      </c>
    </row>
    <row r="112" spans="1:19" ht="25.5">
      <c r="A112" s="150" t="s">
        <v>1189</v>
      </c>
      <c r="B112" s="305">
        <v>61100</v>
      </c>
      <c r="C112" s="305">
        <v>45400</v>
      </c>
      <c r="D112" s="275">
        <v>87900</v>
      </c>
      <c r="P112" s="150" t="s">
        <v>52</v>
      </c>
      <c r="Q112" s="275">
        <v>191000000</v>
      </c>
      <c r="R112" s="275">
        <v>16700000</v>
      </c>
      <c r="S112" s="275">
        <v>174000000</v>
      </c>
    </row>
    <row r="113" spans="1:4">
      <c r="A113" s="150" t="s">
        <v>107</v>
      </c>
      <c r="B113" s="305">
        <v>1260</v>
      </c>
      <c r="C113" s="305">
        <v>954</v>
      </c>
      <c r="D113" s="275">
        <v>1850</v>
      </c>
    </row>
    <row r="114" spans="1:4">
      <c r="A114" s="150" t="s">
        <v>1187</v>
      </c>
      <c r="B114" s="69">
        <v>50.8</v>
      </c>
      <c r="C114" s="305">
        <v>38.799999999999997</v>
      </c>
      <c r="D114" s="275">
        <v>75.099999999999994</v>
      </c>
    </row>
    <row r="115" spans="1:4">
      <c r="A115" s="150" t="s">
        <v>1234</v>
      </c>
      <c r="B115" s="305">
        <v>69900</v>
      </c>
      <c r="C115" s="305">
        <v>25700</v>
      </c>
      <c r="D115" s="275">
        <v>64500</v>
      </c>
    </row>
    <row r="116" spans="1:4" ht="25.5">
      <c r="A116" s="150" t="s">
        <v>1124</v>
      </c>
      <c r="B116" s="305">
        <v>8940</v>
      </c>
      <c r="C116" s="305">
        <v>6610</v>
      </c>
      <c r="D116" s="275">
        <v>12700</v>
      </c>
    </row>
    <row r="117" spans="1:4">
      <c r="A117" s="150" t="s">
        <v>1125</v>
      </c>
      <c r="B117" s="305">
        <v>7610</v>
      </c>
      <c r="C117" s="305">
        <v>4330</v>
      </c>
      <c r="D117" s="275">
        <v>8520</v>
      </c>
    </row>
    <row r="118" spans="1:4">
      <c r="A118" s="150" t="s">
        <v>1237</v>
      </c>
      <c r="B118" s="305">
        <v>185000</v>
      </c>
      <c r="C118" s="305">
        <v>49900</v>
      </c>
      <c r="D118" s="275">
        <v>176000</v>
      </c>
    </row>
    <row r="119" spans="1:4">
      <c r="A119" s="150" t="s">
        <v>1238</v>
      </c>
      <c r="B119" s="305">
        <v>398000</v>
      </c>
      <c r="C119" s="305">
        <v>291000</v>
      </c>
      <c r="D119" s="275">
        <v>564000</v>
      </c>
    </row>
    <row r="126" spans="1:4" ht="15">
      <c r="A126" s="55" t="s">
        <v>705</v>
      </c>
    </row>
    <row r="127" spans="1:4" ht="38.25">
      <c r="A127" s="150" t="s">
        <v>430</v>
      </c>
      <c r="B127" s="147" t="s">
        <v>1105</v>
      </c>
      <c r="C127" s="147" t="s">
        <v>1079</v>
      </c>
      <c r="D127" s="147" t="s">
        <v>1002</v>
      </c>
    </row>
    <row r="128" spans="1:4">
      <c r="A128" s="150" t="s">
        <v>108</v>
      </c>
      <c r="B128" s="73">
        <f>(15100000/$B$75)*100</f>
        <v>4.71875</v>
      </c>
      <c r="C128" s="73">
        <f>(10700000/$B$75)*100</f>
        <v>3.34375</v>
      </c>
      <c r="D128" s="73">
        <f>(21000000/$B$75)*100</f>
        <v>6.5625</v>
      </c>
    </row>
    <row r="129" spans="1:4">
      <c r="A129" s="150" t="s">
        <v>109</v>
      </c>
      <c r="B129" s="73">
        <f>(93700/$B$75)*100</f>
        <v>2.9281249999999998E-2</v>
      </c>
      <c r="C129" s="73">
        <f>(69400/$B$75)*100</f>
        <v>2.1687499999999998E-2</v>
      </c>
      <c r="D129" s="73">
        <f>(133000/$B$75)*100</f>
        <v>4.1562499999999995E-2</v>
      </c>
    </row>
    <row r="130" spans="1:4">
      <c r="A130" s="150" t="s">
        <v>658</v>
      </c>
      <c r="B130" s="73">
        <f>(129000000/$B$75)*100</f>
        <v>40.3125</v>
      </c>
      <c r="C130" s="73">
        <f>(78300000/$B$75)*100</f>
        <v>24.46875</v>
      </c>
      <c r="D130" s="73">
        <f>(165000000/$B$75)*100</f>
        <v>51.5625</v>
      </c>
    </row>
    <row r="131" spans="1:4">
      <c r="A131" s="150" t="s">
        <v>1189</v>
      </c>
      <c r="B131" s="73">
        <f>(24700000/$B$75)*100</f>
        <v>7.7187500000000009</v>
      </c>
      <c r="C131" s="73">
        <f>(18200000/$B$75)*100</f>
        <v>5.6875</v>
      </c>
      <c r="D131" s="73">
        <f>(35100000/$B$75)*100</f>
        <v>10.96875</v>
      </c>
    </row>
    <row r="132" spans="1:4">
      <c r="A132" s="150" t="s">
        <v>107</v>
      </c>
      <c r="B132" s="73">
        <f>(503000/$B$75)*100</f>
        <v>0.15718749999999998</v>
      </c>
      <c r="C132" s="73">
        <f>(382000/$B$75)*100</f>
        <v>0.119375</v>
      </c>
      <c r="D132" s="73">
        <f>(741000/$B$75)*100</f>
        <v>0.2315625</v>
      </c>
    </row>
    <row r="133" spans="1:4">
      <c r="A133" s="150" t="s">
        <v>1187</v>
      </c>
      <c r="B133" s="73">
        <f>(20200/$B$75)*100</f>
        <v>6.3125000000000004E-3</v>
      </c>
      <c r="C133" s="73">
        <f>(15500/$B$75)*100</f>
        <v>4.84375E-3</v>
      </c>
      <c r="D133" s="73">
        <f>(30000/$B$75)*100</f>
        <v>9.3749999999999997E-3</v>
      </c>
    </row>
    <row r="134" spans="1:4">
      <c r="A134" s="150" t="s">
        <v>1234</v>
      </c>
      <c r="B134" s="73">
        <f>(27800000/$B$75)*100</f>
        <v>8.6875</v>
      </c>
      <c r="C134" s="73">
        <f>(10300000/$B$75)*100</f>
        <v>3.21875</v>
      </c>
      <c r="D134" s="73">
        <f>(25800000/$B$75)*100</f>
        <v>8.0625</v>
      </c>
    </row>
    <row r="135" spans="1:4" ht="25.5">
      <c r="A135" s="150" t="s">
        <v>1124</v>
      </c>
      <c r="B135" s="73">
        <f>(3580000/$B$75)*100</f>
        <v>1.1187499999999999</v>
      </c>
      <c r="C135" s="73">
        <f>(2640000/$B$75)*100</f>
        <v>0.82500000000000007</v>
      </c>
      <c r="D135" s="73">
        <f>(5080000/$B$75)*100</f>
        <v>1.5874999999999999</v>
      </c>
    </row>
    <row r="136" spans="1:4">
      <c r="A136" s="150" t="s">
        <v>1125</v>
      </c>
      <c r="B136" s="73">
        <f>(2520000/$B$75)*100</f>
        <v>0.78749999999999998</v>
      </c>
      <c r="C136" s="73">
        <f>(1730000/$B$75)*100</f>
        <v>0.54062499999999991</v>
      </c>
      <c r="D136" s="73">
        <f>(3410000/$B$75)*100</f>
        <v>1.065625</v>
      </c>
    </row>
    <row r="137" spans="1:4">
      <c r="A137" s="150" t="s">
        <v>1237</v>
      </c>
      <c r="B137" s="73">
        <f>(37000000/$B$75)*100</f>
        <v>11.5625</v>
      </c>
      <c r="C137" s="73">
        <f>(9990000/$B$75)*100</f>
        <v>3.1218750000000002</v>
      </c>
      <c r="D137" s="73">
        <f>(35200000/$B$75)*100</f>
        <v>11</v>
      </c>
    </row>
    <row r="138" spans="1:4">
      <c r="A138" s="150" t="s">
        <v>1238</v>
      </c>
      <c r="B138" s="73">
        <f>(79100000/$B$75)*100</f>
        <v>24.71875</v>
      </c>
      <c r="C138" s="73">
        <f>(58100000/$B$75)*100</f>
        <v>18.15625</v>
      </c>
      <c r="D138" s="73">
        <f>(113000000/$B$75)*100</f>
        <v>35.3125</v>
      </c>
    </row>
    <row r="139" spans="1:4">
      <c r="A139" s="142" t="s">
        <v>646</v>
      </c>
      <c r="B139" s="73">
        <f>SUM(B128:B138)</f>
        <v>99.817781249999996</v>
      </c>
      <c r="C139" s="73">
        <f>SUM(C128:C138)</f>
        <v>59.50840625</v>
      </c>
      <c r="D139" s="73">
        <f>SUM(D128:D138)</f>
        <v>126.404375</v>
      </c>
    </row>
    <row r="140" spans="1:4">
      <c r="A140" s="150" t="s">
        <v>52</v>
      </c>
      <c r="B140" s="275">
        <v>319000000</v>
      </c>
      <c r="C140" s="275">
        <v>190000000</v>
      </c>
      <c r="D140" s="275">
        <v>404000000</v>
      </c>
    </row>
    <row r="144" spans="1:4" ht="30">
      <c r="A144" s="59" t="s">
        <v>272</v>
      </c>
      <c r="B144" s="47" t="s">
        <v>823</v>
      </c>
      <c r="C144" s="304" t="s">
        <v>202</v>
      </c>
    </row>
    <row r="145" spans="1:19">
      <c r="A145" s="147" t="s">
        <v>56</v>
      </c>
      <c r="B145" s="302">
        <f>(2660000/$B$75)*100</f>
        <v>0.83125000000000004</v>
      </c>
      <c r="C145" s="304"/>
    </row>
    <row r="146" spans="1:19" ht="25.5">
      <c r="A146" s="147" t="s">
        <v>57</v>
      </c>
      <c r="B146" s="302">
        <f>(498000/$B$75)*100</f>
        <v>0.15562499999999999</v>
      </c>
      <c r="C146" s="304"/>
      <c r="P146" s="163" t="s">
        <v>39</v>
      </c>
      <c r="Q146" s="155" t="s">
        <v>36</v>
      </c>
      <c r="R146" s="155"/>
    </row>
    <row r="147" spans="1:19" ht="28.5">
      <c r="A147" s="147" t="s">
        <v>58</v>
      </c>
      <c r="B147" s="302">
        <f>(166000/$B$75)*100</f>
        <v>5.1874999999999998E-2</v>
      </c>
      <c r="C147" s="304"/>
      <c r="P147" s="150" t="s">
        <v>430</v>
      </c>
      <c r="Q147" s="47" t="s">
        <v>1001</v>
      </c>
      <c r="R147" s="147" t="s">
        <v>204</v>
      </c>
      <c r="S147" s="47" t="s">
        <v>76</v>
      </c>
    </row>
    <row r="148" spans="1:19">
      <c r="A148" s="147" t="s">
        <v>199</v>
      </c>
      <c r="B148" s="302">
        <f>(811000/$B$75)*100</f>
        <v>0.25343750000000004</v>
      </c>
      <c r="C148" s="304"/>
      <c r="P148" s="150" t="s">
        <v>108</v>
      </c>
      <c r="Q148" s="308">
        <v>43800</v>
      </c>
      <c r="R148" s="308">
        <v>4020</v>
      </c>
      <c r="S148" s="308">
        <v>39800</v>
      </c>
    </row>
    <row r="149" spans="1:19" ht="25.5">
      <c r="A149" s="147" t="s">
        <v>201</v>
      </c>
      <c r="B149" s="302">
        <f>(135000/$B$75)*100</f>
        <v>4.2187500000000003E-2</v>
      </c>
      <c r="C149" s="304"/>
      <c r="P149" s="150" t="s">
        <v>109</v>
      </c>
      <c r="Q149" s="47">
        <v>277</v>
      </c>
      <c r="R149" s="308">
        <v>20</v>
      </c>
      <c r="S149" s="47">
        <v>257</v>
      </c>
    </row>
    <row r="150" spans="1:19" ht="25.5">
      <c r="A150" s="147" t="s">
        <v>38</v>
      </c>
      <c r="B150" s="302">
        <f>+(54100/$B$75)*100</f>
        <v>1.6906250000000001E-2</v>
      </c>
      <c r="C150" s="304">
        <f>SUM(B145:B150)</f>
        <v>1.35128125</v>
      </c>
      <c r="P150" s="150" t="s">
        <v>658</v>
      </c>
      <c r="Q150" s="308">
        <v>343000</v>
      </c>
      <c r="R150" s="308">
        <v>58700</v>
      </c>
      <c r="S150" s="308">
        <v>284000</v>
      </c>
    </row>
    <row r="151" spans="1:19" ht="25.5">
      <c r="A151" s="147" t="s">
        <v>822</v>
      </c>
      <c r="B151" s="302">
        <f>+(56900000/$B$75)*100</f>
        <v>17.78125</v>
      </c>
      <c r="C151" s="304">
        <f>(1*B151)</f>
        <v>17.78125</v>
      </c>
      <c r="P151" s="150" t="s">
        <v>1189</v>
      </c>
      <c r="Q151" s="308">
        <v>72800</v>
      </c>
      <c r="R151" s="308">
        <v>6580</v>
      </c>
      <c r="S151" s="308">
        <v>66200</v>
      </c>
    </row>
    <row r="152" spans="1:19">
      <c r="A152" s="147" t="s">
        <v>68</v>
      </c>
      <c r="B152" s="302">
        <f>(170000000/$B$75)*100</f>
        <v>53.125</v>
      </c>
      <c r="C152" s="304"/>
      <c r="P152" s="150" t="s">
        <v>107</v>
      </c>
      <c r="Q152" s="308">
        <v>1530</v>
      </c>
      <c r="R152" s="308">
        <v>56.4</v>
      </c>
      <c r="S152" s="308">
        <v>1470</v>
      </c>
    </row>
    <row r="153" spans="1:19" ht="25.5">
      <c r="A153" s="147" t="s">
        <v>69</v>
      </c>
      <c r="B153" s="302">
        <f>(31800000/$B$75)*100</f>
        <v>9.9375</v>
      </c>
      <c r="C153" s="304"/>
      <c r="P153" s="150" t="s">
        <v>1187</v>
      </c>
      <c r="Q153" s="47">
        <v>62.1</v>
      </c>
      <c r="R153" s="308">
        <v>1.8</v>
      </c>
      <c r="S153" s="47">
        <v>60.3</v>
      </c>
    </row>
    <row r="154" spans="1:19">
      <c r="A154" s="147" t="s">
        <v>70</v>
      </c>
      <c r="B154" s="302">
        <f>(10600000/$B$75)*100</f>
        <v>3.3125</v>
      </c>
      <c r="C154" s="304"/>
      <c r="P154" s="150" t="s">
        <v>1234</v>
      </c>
      <c r="Q154" s="308">
        <v>54500</v>
      </c>
      <c r="R154" s="308">
        <v>29100</v>
      </c>
      <c r="S154" s="308">
        <v>25400</v>
      </c>
    </row>
    <row r="155" spans="1:19" ht="51">
      <c r="A155" s="147" t="s">
        <v>71</v>
      </c>
      <c r="B155" s="302">
        <f>(51700000/$B$75)*100</f>
        <v>16.15625</v>
      </c>
      <c r="C155" s="304"/>
      <c r="P155" s="150" t="s">
        <v>1124</v>
      </c>
      <c r="Q155" s="308">
        <v>10600</v>
      </c>
      <c r="R155" s="308">
        <v>786</v>
      </c>
      <c r="S155" s="308">
        <v>9790</v>
      </c>
    </row>
    <row r="156" spans="1:19">
      <c r="A156" s="147" t="s">
        <v>72</v>
      </c>
      <c r="B156" s="302">
        <f>(8630000/$B$75)*100</f>
        <v>2.6968749999999999</v>
      </c>
      <c r="C156" s="304"/>
      <c r="P156" s="150" t="s">
        <v>1125</v>
      </c>
      <c r="Q156" s="308">
        <v>8420</v>
      </c>
      <c r="R156" s="308">
        <v>824</v>
      </c>
      <c r="S156" s="308">
        <v>7600</v>
      </c>
    </row>
    <row r="157" spans="1:19">
      <c r="A157" s="147" t="s">
        <v>73</v>
      </c>
      <c r="B157" s="302">
        <f>(3450000/$B$75)*100</f>
        <v>1.078125</v>
      </c>
      <c r="C157" s="304">
        <f>SUM(B152:B157)</f>
        <v>86.306250000000006</v>
      </c>
      <c r="P157" s="150" t="s">
        <v>1237</v>
      </c>
      <c r="Q157" s="308">
        <v>148000</v>
      </c>
      <c r="R157" s="308">
        <v>73800</v>
      </c>
      <c r="S157" s="308">
        <v>74100</v>
      </c>
    </row>
    <row r="158" spans="1:19" ht="25.5">
      <c r="A158" s="147" t="s">
        <v>203</v>
      </c>
      <c r="B158" s="302">
        <f>(566000/$B$75)*100</f>
        <v>0.176875</v>
      </c>
      <c r="C158" s="304">
        <f>(1*B158)</f>
        <v>0.176875</v>
      </c>
      <c r="P158" s="150" t="s">
        <v>1238</v>
      </c>
      <c r="Q158" s="308">
        <v>475000</v>
      </c>
      <c r="R158" s="308">
        <v>32300</v>
      </c>
      <c r="S158" s="308">
        <v>438000</v>
      </c>
    </row>
    <row r="159" spans="1:19">
      <c r="A159" s="147" t="s">
        <v>74</v>
      </c>
      <c r="B159" s="303">
        <f>SUM(B145:B158)</f>
        <v>105.61565625</v>
      </c>
      <c r="C159" s="304">
        <f>SUM(C145:C158)</f>
        <v>105.61565625</v>
      </c>
    </row>
    <row r="161" spans="1:19" ht="38.25">
      <c r="A161" s="147"/>
      <c r="B161" s="47" t="s">
        <v>1105</v>
      </c>
      <c r="C161" s="47" t="s">
        <v>1079</v>
      </c>
      <c r="D161" s="47" t="s">
        <v>823</v>
      </c>
      <c r="E161" s="147" t="s">
        <v>37</v>
      </c>
    </row>
    <row r="162" spans="1:19" ht="25.5">
      <c r="A162" s="147" t="s">
        <v>954</v>
      </c>
      <c r="B162" s="72">
        <f>(4320000/$B$75)*100</f>
        <v>1.35</v>
      </c>
      <c r="C162" s="72">
        <f>(4320000/$B$75)*100</f>
        <v>1.35</v>
      </c>
      <c r="D162" s="72">
        <f>(4320000/$B$75)*100</f>
        <v>1.35</v>
      </c>
      <c r="E162" s="302">
        <f>(5717000/$B$75)*100</f>
        <v>1.7865625000000001</v>
      </c>
    </row>
    <row r="163" spans="1:19" ht="25.5">
      <c r="A163" s="147" t="s">
        <v>1104</v>
      </c>
      <c r="B163" s="72">
        <f>(97000000/$B$75)*100</f>
        <v>30.312499999999996</v>
      </c>
      <c r="C163" s="72">
        <f>(12300000/$B$75)*100</f>
        <v>3.84375</v>
      </c>
      <c r="D163" s="72">
        <f>(56900000/$B$75)*100</f>
        <v>17.78125</v>
      </c>
      <c r="E163" s="302">
        <f>(64430000/$B$75)*100</f>
        <v>20.134374999999999</v>
      </c>
    </row>
    <row r="164" spans="1:19">
      <c r="A164" s="147" t="s">
        <v>76</v>
      </c>
      <c r="B164" s="72">
        <f>(218000000/$B$75)*100</f>
        <v>68.125</v>
      </c>
      <c r="C164" s="72">
        <f>($C$96+$C$97)</f>
        <v>54.508125</v>
      </c>
      <c r="D164" s="72">
        <f>($C$157+$C$158)</f>
        <v>86.483125000000001</v>
      </c>
      <c r="E164" s="302">
        <f>(334000000/$B$75)*100</f>
        <v>104.375</v>
      </c>
    </row>
    <row r="165" spans="1:19">
      <c r="A165" s="147" t="s">
        <v>646</v>
      </c>
      <c r="B165" s="302">
        <f>SUM(B162:B164)</f>
        <v>99.787499999999994</v>
      </c>
      <c r="C165" s="304">
        <f>SUM(C162:C164)</f>
        <v>59.701875000000001</v>
      </c>
      <c r="D165" s="304">
        <f>SUM(D162:D164)</f>
        <v>105.614375</v>
      </c>
      <c r="E165" s="302">
        <f>SUM(E162:E164)</f>
        <v>126.29593749999999</v>
      </c>
    </row>
    <row r="166" spans="1:19" ht="25.5">
      <c r="P166" s="163" t="s">
        <v>39</v>
      </c>
      <c r="Q166" s="155" t="s">
        <v>33</v>
      </c>
      <c r="R166" s="155" t="s">
        <v>34</v>
      </c>
    </row>
    <row r="167" spans="1:19" ht="25.5">
      <c r="P167" s="150" t="s">
        <v>430</v>
      </c>
      <c r="Q167" s="147" t="s">
        <v>1001</v>
      </c>
      <c r="R167" s="147" t="s">
        <v>204</v>
      </c>
      <c r="S167" s="147" t="s">
        <v>76</v>
      </c>
    </row>
    <row r="168" spans="1:19">
      <c r="P168" s="150" t="s">
        <v>108</v>
      </c>
      <c r="Q168" s="73">
        <f>(17500000/$B$75)*100</f>
        <v>5.46875</v>
      </c>
      <c r="R168" s="73">
        <f>(1610000/$B$75)*100</f>
        <v>0.50312500000000004</v>
      </c>
      <c r="S168" s="73">
        <f>(15900000/$B$75)*100</f>
        <v>4.96875</v>
      </c>
    </row>
    <row r="169" spans="1:19" ht="25.5">
      <c r="P169" s="150" t="s">
        <v>109</v>
      </c>
      <c r="Q169" s="73">
        <f>(111000/$B$75)*100</f>
        <v>3.4687500000000003E-2</v>
      </c>
      <c r="R169" s="73">
        <f>(7990/$B$75)*100</f>
        <v>2.496875E-3</v>
      </c>
      <c r="S169" s="73">
        <f>(103000/$B$75)*100</f>
        <v>3.2187500000000001E-2</v>
      </c>
    </row>
    <row r="170" spans="1:19" ht="25.5">
      <c r="P170" s="150" t="s">
        <v>658</v>
      </c>
      <c r="Q170" s="73">
        <f>(137000000/$B$75)*100</f>
        <v>42.8125</v>
      </c>
      <c r="R170" s="73">
        <f>(23500000/$B$75)*100</f>
        <v>7.34375</v>
      </c>
      <c r="S170" s="73">
        <f>(114000000/$B$75)*100</f>
        <v>35.625</v>
      </c>
    </row>
    <row r="171" spans="1:19" ht="25.5">
      <c r="P171" s="150" t="s">
        <v>1189</v>
      </c>
      <c r="Q171" s="73">
        <f>(29100000/$B$75)*100</f>
        <v>9.09375</v>
      </c>
      <c r="R171" s="73">
        <f>(2630000/$B$75)*100</f>
        <v>0.82187500000000002</v>
      </c>
      <c r="S171" s="73">
        <f>(26500000/$B$75)*100</f>
        <v>8.28125</v>
      </c>
    </row>
    <row r="172" spans="1:19">
      <c r="P172" s="150" t="s">
        <v>107</v>
      </c>
      <c r="Q172" s="73">
        <f>(612000/$B$75)*100</f>
        <v>0.19125</v>
      </c>
      <c r="R172" s="73">
        <f>(22600/$B$75)*100</f>
        <v>7.0624999999999993E-3</v>
      </c>
      <c r="S172" s="73">
        <f>(590000/$B$75)*100</f>
        <v>0.18437499999999998</v>
      </c>
    </row>
    <row r="173" spans="1:19" ht="25.5">
      <c r="A173" s="196" t="s">
        <v>706</v>
      </c>
      <c r="P173" s="150" t="s">
        <v>1187</v>
      </c>
      <c r="Q173" s="73">
        <f>(24800/$B$75)*100</f>
        <v>7.7499999999999999E-3</v>
      </c>
      <c r="R173" s="73">
        <f>(719/$B$75)*100</f>
        <v>2.2468750000000001E-4</v>
      </c>
      <c r="S173" s="73">
        <f>(24100/$B$75)*100</f>
        <v>7.5312499999999998E-3</v>
      </c>
    </row>
    <row r="174" spans="1:19" ht="28.5">
      <c r="A174" s="150" t="s">
        <v>430</v>
      </c>
      <c r="B174" s="47" t="s">
        <v>1105</v>
      </c>
      <c r="C174" s="147" t="s">
        <v>1079</v>
      </c>
      <c r="D174" s="147" t="s">
        <v>707</v>
      </c>
      <c r="E174" s="147" t="s">
        <v>1106</v>
      </c>
      <c r="P174" s="150" t="s">
        <v>1234</v>
      </c>
      <c r="Q174" s="73">
        <f>(21800000/$B$75)*100</f>
        <v>6.8125000000000009</v>
      </c>
      <c r="R174" s="73">
        <f>(11600000/$B$75)*100</f>
        <v>3.6249999999999996</v>
      </c>
      <c r="S174" s="73">
        <f>(10200000/$B$75)*100</f>
        <v>3.1875</v>
      </c>
    </row>
    <row r="175" spans="1:19" ht="51">
      <c r="A175" s="150" t="s">
        <v>108</v>
      </c>
      <c r="B175" s="305">
        <v>37700</v>
      </c>
      <c r="C175" s="305">
        <v>26700</v>
      </c>
      <c r="D175" s="305">
        <v>43400</v>
      </c>
      <c r="E175" s="275">
        <v>52500</v>
      </c>
      <c r="P175" s="150" t="s">
        <v>1124</v>
      </c>
      <c r="Q175" s="73">
        <f>(4230000/$B$75)*100</f>
        <v>1.3218749999999999</v>
      </c>
      <c r="R175" s="73">
        <f>(314000/$B$75)*100</f>
        <v>9.812499999999999E-2</v>
      </c>
      <c r="S175" s="73">
        <f>(3920000/$B$75)*100</f>
        <v>1.2250000000000001</v>
      </c>
    </row>
    <row r="176" spans="1:19">
      <c r="A176" s="150" t="s">
        <v>109</v>
      </c>
      <c r="B176" s="69">
        <v>234</v>
      </c>
      <c r="C176" s="305">
        <v>173</v>
      </c>
      <c r="D176" s="305">
        <v>277</v>
      </c>
      <c r="E176" s="275">
        <v>333</v>
      </c>
      <c r="P176" s="150" t="s">
        <v>1125</v>
      </c>
      <c r="Q176" s="73">
        <f>(3370000/$B$75)*100</f>
        <v>1.0531250000000001</v>
      </c>
      <c r="R176" s="73">
        <f>(330000/$B$75)*100</f>
        <v>0.10312500000000001</v>
      </c>
      <c r="S176" s="73">
        <f>(3040000/$B$75)*100</f>
        <v>0.95</v>
      </c>
    </row>
    <row r="177" spans="1:19">
      <c r="A177" s="150" t="s">
        <v>658</v>
      </c>
      <c r="B177" s="305">
        <v>333000</v>
      </c>
      <c r="C177" s="305">
        <v>196500</v>
      </c>
      <c r="D177" s="305">
        <v>344000</v>
      </c>
      <c r="E177" s="275">
        <v>412000</v>
      </c>
      <c r="P177" s="150" t="s">
        <v>1237</v>
      </c>
      <c r="Q177" s="73">
        <f>(29600000/$B$75)*100</f>
        <v>9.25</v>
      </c>
      <c r="R177" s="73">
        <f>(14800000/$B$75)*100</f>
        <v>4.625</v>
      </c>
      <c r="S177" s="73">
        <f>(14800000/$B$75)*100</f>
        <v>4.625</v>
      </c>
    </row>
    <row r="178" spans="1:19" ht="25.5">
      <c r="A178" s="150" t="s">
        <v>1189</v>
      </c>
      <c r="B178" s="305">
        <v>61800</v>
      </c>
      <c r="C178" s="305">
        <v>45400</v>
      </c>
      <c r="D178" s="305">
        <v>73200</v>
      </c>
      <c r="E178" s="275">
        <v>87900</v>
      </c>
      <c r="P178" s="150" t="s">
        <v>1238</v>
      </c>
      <c r="Q178" s="73">
        <f>(94100000/$B$75)*100</f>
        <v>29.40625</v>
      </c>
      <c r="R178" s="73">
        <f>(6460000/$B$75)*100</f>
        <v>2.0187500000000003</v>
      </c>
      <c r="S178" s="73">
        <f>(87600000/$B$75)*100</f>
        <v>27.375</v>
      </c>
    </row>
    <row r="179" spans="1:19">
      <c r="A179" s="150" t="s">
        <v>107</v>
      </c>
      <c r="B179" s="305">
        <v>1260</v>
      </c>
      <c r="C179" s="305">
        <v>954</v>
      </c>
      <c r="D179" s="305">
        <v>1530</v>
      </c>
      <c r="E179" s="275">
        <v>1850</v>
      </c>
      <c r="P179" s="142" t="s">
        <v>646</v>
      </c>
      <c r="Q179" s="73">
        <f>SUM(Q168:Q178)</f>
        <v>105.4524375</v>
      </c>
      <c r="R179" s="73">
        <f>SUM(R168:R178)</f>
        <v>19.148534062500001</v>
      </c>
      <c r="S179" s="73">
        <f>SUM(S168:S178)</f>
        <v>86.461593750000006</v>
      </c>
    </row>
    <row r="180" spans="1:19" ht="25.5">
      <c r="A180" s="150" t="s">
        <v>1187</v>
      </c>
      <c r="B180" s="69">
        <v>50.6</v>
      </c>
      <c r="C180" s="305">
        <v>38.799999999999997</v>
      </c>
      <c r="D180" s="305">
        <v>62</v>
      </c>
      <c r="E180" s="275">
        <v>75.099999999999994</v>
      </c>
      <c r="P180" s="150" t="s">
        <v>52</v>
      </c>
      <c r="Q180" s="275">
        <v>338000000</v>
      </c>
      <c r="R180" s="275">
        <v>61200000</v>
      </c>
      <c r="S180" s="275">
        <v>276000000</v>
      </c>
    </row>
    <row r="181" spans="1:19">
      <c r="A181" s="150" t="s">
        <v>1234</v>
      </c>
      <c r="B181" s="305">
        <v>69500</v>
      </c>
      <c r="C181" s="305">
        <v>25700</v>
      </c>
      <c r="D181" s="305">
        <v>54300</v>
      </c>
      <c r="E181" s="275">
        <v>64500</v>
      </c>
    </row>
    <row r="182" spans="1:19" ht="25.5">
      <c r="A182" s="150" t="s">
        <v>1124</v>
      </c>
      <c r="B182" s="305">
        <v>8940</v>
      </c>
      <c r="C182" s="305">
        <v>6610</v>
      </c>
      <c r="D182" s="305">
        <v>10600</v>
      </c>
      <c r="E182" s="275">
        <v>12700</v>
      </c>
    </row>
    <row r="183" spans="1:19">
      <c r="A183" s="150" t="s">
        <v>1125</v>
      </c>
      <c r="B183" s="305">
        <v>6290</v>
      </c>
      <c r="C183" s="305">
        <v>4330</v>
      </c>
      <c r="D183" s="305">
        <v>7100</v>
      </c>
      <c r="E183" s="275">
        <v>8520</v>
      </c>
    </row>
    <row r="184" spans="1:19">
      <c r="A184" s="150" t="s">
        <v>1237</v>
      </c>
      <c r="B184" s="305">
        <v>185000</v>
      </c>
      <c r="C184" s="305">
        <v>49900</v>
      </c>
      <c r="D184" s="305">
        <v>148000</v>
      </c>
      <c r="E184" s="275">
        <v>176000</v>
      </c>
    </row>
    <row r="185" spans="1:19">
      <c r="A185" s="150" t="s">
        <v>1238</v>
      </c>
      <c r="B185" s="305">
        <v>395000</v>
      </c>
      <c r="C185" s="305">
        <v>291000</v>
      </c>
      <c r="D185" s="305">
        <v>469000</v>
      </c>
      <c r="E185" s="275">
        <v>564000</v>
      </c>
    </row>
    <row r="187" spans="1:19" ht="15">
      <c r="A187" s="55" t="s">
        <v>705</v>
      </c>
    </row>
    <row r="188" spans="1:19" ht="28.5">
      <c r="A188" s="150" t="s">
        <v>430</v>
      </c>
      <c r="B188" s="147" t="s">
        <v>1105</v>
      </c>
      <c r="C188" s="147" t="s">
        <v>1079</v>
      </c>
      <c r="D188" s="306" t="s">
        <v>823</v>
      </c>
      <c r="E188" s="147" t="s">
        <v>957</v>
      </c>
    </row>
    <row r="189" spans="1:19">
      <c r="A189" s="150" t="s">
        <v>108</v>
      </c>
      <c r="B189" s="73">
        <f>(15100000/$B$75)*100</f>
        <v>4.71875</v>
      </c>
      <c r="C189" s="73">
        <f>(10700000/$B$75)*100</f>
        <v>3.34375</v>
      </c>
      <c r="D189" s="73">
        <f>(17400000/$B$75)*100</f>
        <v>5.4375</v>
      </c>
      <c r="E189" s="73">
        <f>(21000000/$B$75)*100</f>
        <v>6.5625</v>
      </c>
    </row>
    <row r="190" spans="1:19">
      <c r="A190" s="150" t="s">
        <v>109</v>
      </c>
      <c r="B190" s="73">
        <f>(93700/$B$75)*100</f>
        <v>2.9281249999999998E-2</v>
      </c>
      <c r="C190" s="73">
        <f>(69400/$B$75)*100</f>
        <v>2.1687499999999998E-2</v>
      </c>
      <c r="D190" s="73">
        <f>(111000/$B$75)*100</f>
        <v>3.4687500000000003E-2</v>
      </c>
      <c r="E190" s="73">
        <f>(133000/$B$75)*100</f>
        <v>4.1562499999999995E-2</v>
      </c>
    </row>
    <row r="191" spans="1:19">
      <c r="A191" s="150" t="s">
        <v>658</v>
      </c>
      <c r="B191" s="73">
        <f>(129000000/$B$75)*100</f>
        <v>40.3125</v>
      </c>
      <c r="C191" s="73">
        <f>(78300000/$B$75)*100</f>
        <v>24.46875</v>
      </c>
      <c r="D191" s="73">
        <f>(137000000/$B$75)*100</f>
        <v>42.8125</v>
      </c>
      <c r="E191" s="73">
        <f>(165000000/$B$75)*100</f>
        <v>51.5625</v>
      </c>
    </row>
    <row r="192" spans="1:19">
      <c r="A192" s="150" t="s">
        <v>1189</v>
      </c>
      <c r="B192" s="73">
        <f>(24700000/$B$75)*100</f>
        <v>7.7187500000000009</v>
      </c>
      <c r="C192" s="73">
        <f>(18200000/$B$75)*100</f>
        <v>5.6875</v>
      </c>
      <c r="D192" s="73">
        <f>(29300000/$B$75)*100</f>
        <v>9.15625</v>
      </c>
      <c r="E192" s="73">
        <f>(35100000/$B$75)*100</f>
        <v>10.96875</v>
      </c>
    </row>
    <row r="193" spans="1:19">
      <c r="A193" s="150" t="s">
        <v>107</v>
      </c>
      <c r="B193" s="73">
        <f>(503000/$B$75)*100</f>
        <v>0.15718749999999998</v>
      </c>
      <c r="C193" s="73">
        <f>(382000/$B$75)*100</f>
        <v>0.119375</v>
      </c>
      <c r="D193" s="73">
        <f>(611000/$B$75)*100</f>
        <v>0.19093750000000001</v>
      </c>
      <c r="E193" s="73">
        <f>(741000/$B$75)*100</f>
        <v>0.2315625</v>
      </c>
    </row>
    <row r="194" spans="1:19">
      <c r="A194" s="150" t="s">
        <v>1187</v>
      </c>
      <c r="B194" s="73">
        <f>(20200/$B$75)*100</f>
        <v>6.3125000000000004E-3</v>
      </c>
      <c r="C194" s="73">
        <f>(15500/$B$75)*100</f>
        <v>4.84375E-3</v>
      </c>
      <c r="D194" s="73">
        <f>(24800/$B$75)*100</f>
        <v>7.7499999999999999E-3</v>
      </c>
      <c r="E194" s="73">
        <f>(30000/$B$75)*100</f>
        <v>9.3749999999999997E-3</v>
      </c>
    </row>
    <row r="195" spans="1:19">
      <c r="A195" s="150" t="s">
        <v>1234</v>
      </c>
      <c r="B195" s="73">
        <f>(27800000/$B$75)*100</f>
        <v>8.6875</v>
      </c>
      <c r="C195" s="73">
        <f>(10300000/$B$75)*100</f>
        <v>3.21875</v>
      </c>
      <c r="D195" s="73">
        <f>(21700000/$B$75)*100</f>
        <v>6.78125</v>
      </c>
      <c r="E195" s="73">
        <f>(25800000/$B$75)*100</f>
        <v>8.0625</v>
      </c>
    </row>
    <row r="196" spans="1:19" ht="25.5">
      <c r="A196" s="150" t="s">
        <v>1124</v>
      </c>
      <c r="B196" s="73">
        <f>(3580000/$B$75)*100</f>
        <v>1.1187499999999999</v>
      </c>
      <c r="C196" s="73">
        <f>(2640000/$B$75)*100</f>
        <v>0.82500000000000007</v>
      </c>
      <c r="D196" s="73">
        <f>(4230000/$B$75)*100</f>
        <v>1.3218749999999999</v>
      </c>
      <c r="E196" s="73">
        <f>(5080000/$B$75)*100</f>
        <v>1.5874999999999999</v>
      </c>
    </row>
    <row r="197" spans="1:19">
      <c r="A197" s="150" t="s">
        <v>1125</v>
      </c>
      <c r="B197" s="73">
        <f>(2520000/$B$75)*100</f>
        <v>0.78749999999999998</v>
      </c>
      <c r="C197" s="73">
        <f>(1730000/$B$75)*100</f>
        <v>0.54062499999999991</v>
      </c>
      <c r="D197" s="73">
        <f>(2840000/$B$75)*100</f>
        <v>0.88749999999999996</v>
      </c>
      <c r="E197" s="73">
        <f>(3410000/$B$75)*100</f>
        <v>1.065625</v>
      </c>
    </row>
    <row r="198" spans="1:19">
      <c r="A198" s="150" t="s">
        <v>1237</v>
      </c>
      <c r="B198" s="73">
        <f>(37000000/$B$75)*100</f>
        <v>11.5625</v>
      </c>
      <c r="C198" s="73">
        <f>(9990000/$B$75)*100</f>
        <v>3.1218750000000002</v>
      </c>
      <c r="D198" s="73">
        <f>(29600000/$B$75)*100</f>
        <v>9.25</v>
      </c>
      <c r="E198" s="73">
        <f>(35200000/$B$75)*100</f>
        <v>11</v>
      </c>
    </row>
    <row r="199" spans="1:19">
      <c r="A199" s="150" t="s">
        <v>1238</v>
      </c>
      <c r="B199" s="73">
        <f>(79100000/$B$75)*100</f>
        <v>24.71875</v>
      </c>
      <c r="C199" s="73">
        <f>(58100000/$B$75)*100</f>
        <v>18.15625</v>
      </c>
      <c r="D199" s="73">
        <f>(93700000/$B$75)*100</f>
        <v>29.281249999999996</v>
      </c>
      <c r="E199" s="73">
        <f>(113000000/$B$75)*100</f>
        <v>35.3125</v>
      </c>
    </row>
    <row r="200" spans="1:19">
      <c r="A200" s="142" t="s">
        <v>646</v>
      </c>
      <c r="B200" s="73">
        <f>SUM(B189:B199)</f>
        <v>99.817781249999996</v>
      </c>
      <c r="C200" s="73">
        <f>SUM(C189:C199)</f>
        <v>59.50840625</v>
      </c>
      <c r="D200" s="73">
        <f>SUM(D189:D199)</f>
        <v>105.1615</v>
      </c>
      <c r="E200" s="73">
        <f>SUM(E189:E199)</f>
        <v>126.404375</v>
      </c>
    </row>
    <row r="201" spans="1:19">
      <c r="A201" s="150" t="s">
        <v>52</v>
      </c>
      <c r="B201" s="275">
        <v>319000000</v>
      </c>
      <c r="C201" s="275">
        <v>190000000</v>
      </c>
      <c r="D201" s="307">
        <v>337000000</v>
      </c>
      <c r="E201" s="275">
        <v>404000000</v>
      </c>
    </row>
    <row r="202" spans="1:19" ht="25.5">
      <c r="P202" s="163" t="s">
        <v>41</v>
      </c>
      <c r="Q202" s="155" t="s">
        <v>36</v>
      </c>
      <c r="R202" s="155"/>
    </row>
    <row r="203" spans="1:19" ht="45">
      <c r="A203" s="59" t="s">
        <v>273</v>
      </c>
      <c r="B203" s="47" t="s">
        <v>560</v>
      </c>
      <c r="C203" s="304" t="s">
        <v>202</v>
      </c>
      <c r="P203" s="150" t="s">
        <v>430</v>
      </c>
      <c r="Q203" s="47" t="s">
        <v>1001</v>
      </c>
      <c r="R203" s="147" t="s">
        <v>204</v>
      </c>
      <c r="S203" s="47" t="s">
        <v>76</v>
      </c>
    </row>
    <row r="204" spans="1:19">
      <c r="A204" s="147" t="s">
        <v>56</v>
      </c>
      <c r="B204" s="302">
        <f>(2660000/$B$75)*100</f>
        <v>0.83125000000000004</v>
      </c>
      <c r="C204" s="304"/>
      <c r="P204" s="150" t="s">
        <v>108</v>
      </c>
      <c r="Q204" s="308">
        <v>20600</v>
      </c>
      <c r="R204" s="308">
        <v>2790</v>
      </c>
      <c r="S204" s="308">
        <v>17800</v>
      </c>
    </row>
    <row r="205" spans="1:19" ht="25.5">
      <c r="A205" s="147" t="s">
        <v>57</v>
      </c>
      <c r="B205" s="302">
        <f>(498000/$B$75)*100</f>
        <v>0.15562499999999999</v>
      </c>
      <c r="C205" s="304"/>
      <c r="P205" s="150" t="s">
        <v>109</v>
      </c>
      <c r="Q205" s="47">
        <v>128</v>
      </c>
      <c r="R205" s="308">
        <v>14.3</v>
      </c>
      <c r="S205" s="47">
        <v>114</v>
      </c>
    </row>
    <row r="206" spans="1:19" ht="25.5">
      <c r="A206" s="147" t="s">
        <v>58</v>
      </c>
      <c r="B206" s="302">
        <f>(166000/$B$75)*100</f>
        <v>5.1874999999999998E-2</v>
      </c>
      <c r="C206" s="304"/>
      <c r="P206" s="150" t="s">
        <v>658</v>
      </c>
      <c r="Q206" s="308">
        <v>167000</v>
      </c>
      <c r="R206" s="308">
        <v>41000</v>
      </c>
      <c r="S206" s="308">
        <v>126000</v>
      </c>
    </row>
    <row r="207" spans="1:19" ht="25.5">
      <c r="A207" s="147" t="s">
        <v>199</v>
      </c>
      <c r="B207" s="302">
        <f>(811000/$B$75)*100</f>
        <v>0.25343750000000004</v>
      </c>
      <c r="C207" s="304"/>
      <c r="P207" s="150" t="s">
        <v>1189</v>
      </c>
      <c r="Q207" s="308">
        <v>33000</v>
      </c>
      <c r="R207" s="308">
        <v>4760</v>
      </c>
      <c r="S207" s="308">
        <v>28200</v>
      </c>
    </row>
    <row r="208" spans="1:19">
      <c r="A208" s="147" t="s">
        <v>201</v>
      </c>
      <c r="B208" s="302">
        <f>(135000/$B$75)*100</f>
        <v>4.2187500000000003E-2</v>
      </c>
      <c r="C208" s="304"/>
      <c r="P208" s="150" t="s">
        <v>107</v>
      </c>
      <c r="Q208" s="308">
        <v>696</v>
      </c>
      <c r="R208" s="308">
        <v>40.6</v>
      </c>
      <c r="S208" s="308">
        <v>656</v>
      </c>
    </row>
    <row r="209" spans="1:19" ht="25.5">
      <c r="A209" s="147" t="s">
        <v>200</v>
      </c>
      <c r="B209" s="302">
        <f>(54100/$B$75)*100</f>
        <v>1.6906250000000001E-2</v>
      </c>
      <c r="C209" s="304">
        <f>SUM(B204:B209)</f>
        <v>1.35128125</v>
      </c>
      <c r="P209" s="150" t="s">
        <v>1187</v>
      </c>
      <c r="Q209" s="47">
        <v>28.2</v>
      </c>
      <c r="R209" s="308">
        <v>1.29</v>
      </c>
      <c r="S209" s="47">
        <v>26.9</v>
      </c>
    </row>
    <row r="210" spans="1:19">
      <c r="A210" s="147" t="s">
        <v>561</v>
      </c>
      <c r="B210" s="302">
        <f>(25500000/$B$75)*100</f>
        <v>7.9687499999999991</v>
      </c>
      <c r="C210" s="304"/>
      <c r="P210" s="150" t="s">
        <v>1234</v>
      </c>
      <c r="Q210" s="308">
        <v>30800</v>
      </c>
      <c r="R210" s="308">
        <v>19500</v>
      </c>
      <c r="S210" s="308">
        <v>11400</v>
      </c>
    </row>
    <row r="211" spans="1:19" ht="51">
      <c r="A211" s="147" t="s">
        <v>562</v>
      </c>
      <c r="B211" s="302">
        <f>(12400000/$B$75)*100</f>
        <v>3.875</v>
      </c>
      <c r="C211" s="304">
        <f>(B211+B210)</f>
        <v>11.84375</v>
      </c>
      <c r="P211" s="150" t="s">
        <v>1124</v>
      </c>
      <c r="Q211" s="308">
        <v>4870</v>
      </c>
      <c r="R211" s="308">
        <v>560</v>
      </c>
      <c r="S211" s="308">
        <v>4310</v>
      </c>
    </row>
    <row r="212" spans="1:19">
      <c r="A212" s="147" t="s">
        <v>68</v>
      </c>
      <c r="B212" s="302">
        <f>(75000000/$B$75)*100</f>
        <v>23.4375</v>
      </c>
      <c r="C212" s="304"/>
      <c r="P212" s="150" t="s">
        <v>1125</v>
      </c>
      <c r="Q212" s="308">
        <v>4710</v>
      </c>
      <c r="R212" s="308">
        <v>592</v>
      </c>
      <c r="S212" s="308">
        <v>4120</v>
      </c>
    </row>
    <row r="213" spans="1:19">
      <c r="A213" s="147" t="s">
        <v>69</v>
      </c>
      <c r="B213" s="302">
        <f>(14100000/$B$75)*100</f>
        <v>4.40625</v>
      </c>
      <c r="C213" s="304"/>
      <c r="P213" s="150" t="s">
        <v>1237</v>
      </c>
      <c r="Q213" s="308">
        <v>82700</v>
      </c>
      <c r="R213" s="308">
        <v>49500</v>
      </c>
      <c r="S213" s="308">
        <v>33200</v>
      </c>
    </row>
    <row r="214" spans="1:19" ht="25.5">
      <c r="A214" s="147" t="s">
        <v>70</v>
      </c>
      <c r="B214" s="302">
        <f>(4690000/$B$75)*100</f>
        <v>1.465625</v>
      </c>
      <c r="C214" s="304"/>
      <c r="P214" s="150" t="s">
        <v>1238</v>
      </c>
      <c r="Q214" s="308">
        <v>218000</v>
      </c>
      <c r="R214" s="308">
        <v>23100</v>
      </c>
      <c r="S214" s="308">
        <v>195000</v>
      </c>
    </row>
    <row r="215" spans="1:19">
      <c r="A215" s="147" t="s">
        <v>71</v>
      </c>
      <c r="B215" s="302">
        <f>(22900000/$B$75)*100</f>
        <v>7.15625</v>
      </c>
      <c r="C215" s="304"/>
    </row>
    <row r="216" spans="1:19" ht="25.5">
      <c r="A216" s="147" t="s">
        <v>72</v>
      </c>
      <c r="B216" s="302">
        <f>(3820000/$B$75)*100</f>
        <v>1.1937500000000001</v>
      </c>
      <c r="C216" s="304"/>
      <c r="P216" s="163" t="s">
        <v>41</v>
      </c>
      <c r="Q216" s="155" t="s">
        <v>33</v>
      </c>
      <c r="R216" s="155" t="s">
        <v>34</v>
      </c>
    </row>
    <row r="217" spans="1:19" ht="25.5">
      <c r="A217" s="147" t="s">
        <v>73</v>
      </c>
      <c r="B217" s="302">
        <f>(1530000/$B$75)*100</f>
        <v>0.47812499999999997</v>
      </c>
      <c r="C217" s="304">
        <f>SUM(B212:B217)</f>
        <v>38.137500000000003</v>
      </c>
      <c r="P217" s="150" t="s">
        <v>430</v>
      </c>
      <c r="Q217" s="147" t="s">
        <v>1001</v>
      </c>
      <c r="R217" s="147" t="s">
        <v>204</v>
      </c>
      <c r="S217" s="147" t="s">
        <v>76</v>
      </c>
    </row>
    <row r="218" spans="1:19">
      <c r="A218" s="147" t="s">
        <v>203</v>
      </c>
      <c r="B218" s="302">
        <f>(566000/$B$75)*100</f>
        <v>0.176875</v>
      </c>
      <c r="C218" s="304">
        <f>(1*B218)</f>
        <v>0.176875</v>
      </c>
      <c r="P218" s="150" t="s">
        <v>108</v>
      </c>
      <c r="Q218" s="73">
        <f>(8230000/$B$75)*100</f>
        <v>2.5718749999999999</v>
      </c>
      <c r="R218" s="73">
        <f>(1120000/$B$75)*100</f>
        <v>0.35000000000000003</v>
      </c>
      <c r="S218" s="73">
        <f>(7110000/$B$75)*100</f>
        <v>2.2218749999999998</v>
      </c>
    </row>
    <row r="219" spans="1:19" ht="25.5">
      <c r="A219" s="147" t="s">
        <v>74</v>
      </c>
      <c r="B219" s="303">
        <f>SUM(B204:B218)</f>
        <v>51.509406250000005</v>
      </c>
      <c r="C219" s="304">
        <f>SUM(C204:C218)</f>
        <v>51.509406250000005</v>
      </c>
      <c r="P219" s="150" t="s">
        <v>109</v>
      </c>
      <c r="Q219" s="73">
        <f>(51400/$B$75)*100</f>
        <v>1.60625E-2</v>
      </c>
      <c r="R219" s="73">
        <f>(5730/$B$75)*100</f>
        <v>1.7906250000000001E-3</v>
      </c>
      <c r="S219" s="73">
        <f>(45600/$B$75)*100</f>
        <v>1.4249999999999999E-2</v>
      </c>
    </row>
    <row r="220" spans="1:19" ht="25.5">
      <c r="P220" s="150" t="s">
        <v>658</v>
      </c>
      <c r="Q220" s="73">
        <f>(66800000/$B$75)*100</f>
        <v>20.875</v>
      </c>
      <c r="R220" s="73">
        <f>(16400000/$B$75)*100</f>
        <v>5.125</v>
      </c>
      <c r="S220" s="73">
        <f>(50400000/$B$75)*100</f>
        <v>15.75</v>
      </c>
    </row>
    <row r="221" spans="1:19" ht="31.5" customHeight="1">
      <c r="A221" s="147"/>
      <c r="B221" s="47" t="s">
        <v>1105</v>
      </c>
      <c r="C221" s="47" t="s">
        <v>1079</v>
      </c>
      <c r="D221" s="47" t="s">
        <v>823</v>
      </c>
      <c r="E221" s="47" t="s">
        <v>563</v>
      </c>
      <c r="F221" s="147" t="s">
        <v>37</v>
      </c>
      <c r="P221" s="150" t="s">
        <v>1189</v>
      </c>
      <c r="Q221" s="73">
        <f>(13200000/$B$75)*100</f>
        <v>4.125</v>
      </c>
      <c r="R221" s="73">
        <f>(1900000/$B$75)*100</f>
        <v>0.59375</v>
      </c>
      <c r="S221" s="73">
        <f>(11300000/$B$75)*100</f>
        <v>3.5312499999999996</v>
      </c>
    </row>
    <row r="222" spans="1:19" ht="25.5">
      <c r="A222" s="147" t="s">
        <v>954</v>
      </c>
      <c r="B222" s="72">
        <f>(4320000/$B$75)*100</f>
        <v>1.35</v>
      </c>
      <c r="C222" s="72">
        <f>(4320000/$B$75)*100</f>
        <v>1.35</v>
      </c>
      <c r="D222" s="72">
        <f>(4320000/$B$75)*100</f>
        <v>1.35</v>
      </c>
      <c r="E222" s="72">
        <f>(4320000/$B$75)*100</f>
        <v>1.35</v>
      </c>
      <c r="F222" s="302">
        <f>(5717000/$B$75)*100</f>
        <v>1.7865625000000001</v>
      </c>
      <c r="P222" s="150" t="s">
        <v>107</v>
      </c>
      <c r="Q222" s="73">
        <f>(279000/$B$75)*100</f>
        <v>8.7187500000000001E-2</v>
      </c>
      <c r="R222" s="73">
        <f>(16200/$B$75)*100</f>
        <v>5.0624999999999993E-3</v>
      </c>
      <c r="S222" s="73">
        <f>(262000/$B$75)*100</f>
        <v>8.1875000000000003E-2</v>
      </c>
    </row>
    <row r="223" spans="1:19" ht="25.5">
      <c r="A223" s="147" t="s">
        <v>1104</v>
      </c>
      <c r="B223" s="72">
        <f>(97000000/$B$75)*100</f>
        <v>30.312499999999996</v>
      </c>
      <c r="C223" s="72">
        <f>(12300000/$B$75)*100</f>
        <v>3.84375</v>
      </c>
      <c r="D223" s="72">
        <f>(56900000/$B$75)*100</f>
        <v>17.78125</v>
      </c>
      <c r="E223" s="72">
        <f>(37900000/$B$75)*100</f>
        <v>11.84375</v>
      </c>
      <c r="F223" s="302">
        <f>(64430000/$B$75)*100</f>
        <v>20.134374999999999</v>
      </c>
      <c r="P223" s="150" t="s">
        <v>1187</v>
      </c>
      <c r="Q223" s="73">
        <f>(11300/$B$75)*100</f>
        <v>3.5312499999999997E-3</v>
      </c>
      <c r="R223" s="73">
        <f>(516/$B$75)*100</f>
        <v>1.6124999999999999E-4</v>
      </c>
      <c r="S223" s="73">
        <f>(10800/$B$75)*100</f>
        <v>3.375E-3</v>
      </c>
    </row>
    <row r="224" spans="1:19">
      <c r="A224" s="147" t="s">
        <v>76</v>
      </c>
      <c r="B224" s="72">
        <f>(218000000/$B$75)*100</f>
        <v>68.125</v>
      </c>
      <c r="C224" s="72">
        <f>(174000000/$B$75)*100</f>
        <v>54.374999999999993</v>
      </c>
      <c r="D224" s="72">
        <f>($C$157+$C$158)</f>
        <v>86.483125000000001</v>
      </c>
      <c r="E224" s="72">
        <f>($C$218+$C$217)</f>
        <v>38.314375000000005</v>
      </c>
      <c r="F224" s="302">
        <f>(334000000/$B$75)*100</f>
        <v>104.375</v>
      </c>
      <c r="P224" s="150" t="s">
        <v>1234</v>
      </c>
      <c r="Q224" s="73">
        <f>(12300000/$B$75)*100</f>
        <v>3.84375</v>
      </c>
      <c r="R224" s="73">
        <f>(7790000/$B$75)*100</f>
        <v>2.4343750000000002</v>
      </c>
      <c r="S224" s="73">
        <f>(4540000/$B$75)*100</f>
        <v>1.41875</v>
      </c>
    </row>
    <row r="225" spans="1:19" ht="51">
      <c r="A225" s="147" t="s">
        <v>646</v>
      </c>
      <c r="B225" s="302">
        <f>SUM(B222:B224)</f>
        <v>99.787499999999994</v>
      </c>
      <c r="C225" s="304">
        <f>SUM(C222:C224)</f>
        <v>59.568749999999994</v>
      </c>
      <c r="D225" s="304">
        <f>SUM(D222:D224)</f>
        <v>105.614375</v>
      </c>
      <c r="E225" s="304">
        <f>SUM(E222:E224)</f>
        <v>51.508125000000007</v>
      </c>
      <c r="F225" s="302">
        <f>SUM(F222:F224)</f>
        <v>126.29593749999999</v>
      </c>
      <c r="P225" s="150" t="s">
        <v>1124</v>
      </c>
      <c r="Q225" s="73">
        <f>(1950000/$B$75)*100</f>
        <v>0.609375</v>
      </c>
      <c r="R225" s="73">
        <f>(224000/$B$75)*100</f>
        <v>6.9999999999999993E-2</v>
      </c>
      <c r="S225" s="73">
        <f>(1720000/$B$75)*100</f>
        <v>0.53749999999999998</v>
      </c>
    </row>
    <row r="226" spans="1:19">
      <c r="P226" s="150" t="s">
        <v>1125</v>
      </c>
      <c r="Q226" s="73">
        <f>(1880000/$B$75)*100</f>
        <v>0.58750000000000002</v>
      </c>
      <c r="R226" s="73">
        <f>(237000/$B$75)*100</f>
        <v>7.4062500000000003E-2</v>
      </c>
      <c r="S226" s="73">
        <f>(1650000/$B$75)*100</f>
        <v>0.515625</v>
      </c>
    </row>
    <row r="227" spans="1:19">
      <c r="A227" s="196" t="s">
        <v>706</v>
      </c>
      <c r="P227" s="150" t="s">
        <v>1237</v>
      </c>
      <c r="Q227" s="73">
        <f>(16500000/$B$75)*100</f>
        <v>5.15625</v>
      </c>
      <c r="R227" s="73">
        <f>(9910000/$B$75)*100</f>
        <v>3.0968749999999998</v>
      </c>
      <c r="S227" s="73">
        <f>(6630000/$B$75)*100</f>
        <v>2.0718749999999999</v>
      </c>
    </row>
    <row r="228" spans="1:19" ht="38.25">
      <c r="A228" s="150" t="s">
        <v>430</v>
      </c>
      <c r="B228" s="47" t="s">
        <v>1105</v>
      </c>
      <c r="C228" s="147" t="s">
        <v>1079</v>
      </c>
      <c r="D228" s="147" t="s">
        <v>823</v>
      </c>
      <c r="E228" s="147" t="s">
        <v>560</v>
      </c>
      <c r="F228" s="147" t="s">
        <v>1106</v>
      </c>
      <c r="P228" s="150" t="s">
        <v>1238</v>
      </c>
      <c r="Q228" s="73">
        <f>(43600000/$B$75)*100</f>
        <v>13.625000000000002</v>
      </c>
      <c r="R228" s="73">
        <f>(4620000/$B$75)*100</f>
        <v>1.4437500000000001</v>
      </c>
      <c r="S228" s="73">
        <f>(38900000/$B$75)*100</f>
        <v>12.15625</v>
      </c>
    </row>
    <row r="229" spans="1:19">
      <c r="A229" s="150" t="s">
        <v>108</v>
      </c>
      <c r="B229" s="305">
        <v>37700</v>
      </c>
      <c r="C229" s="305">
        <v>26700</v>
      </c>
      <c r="D229" s="305">
        <v>43400</v>
      </c>
      <c r="E229" s="305">
        <v>20300</v>
      </c>
      <c r="F229" s="275">
        <v>52500</v>
      </c>
      <c r="P229" s="142" t="s">
        <v>646</v>
      </c>
      <c r="Q229" s="73">
        <f>SUM(Q218:Q228)</f>
        <v>51.500531250000002</v>
      </c>
      <c r="R229" s="73">
        <f>SUM(R218:R228)</f>
        <v>13.194826874999999</v>
      </c>
      <c r="S229" s="73">
        <f>SUM(S218:S228)</f>
        <v>38.302624999999999</v>
      </c>
    </row>
    <row r="230" spans="1:19" ht="25.5">
      <c r="A230" s="150" t="s">
        <v>109</v>
      </c>
      <c r="B230" s="69">
        <v>234</v>
      </c>
      <c r="C230" s="305">
        <v>173</v>
      </c>
      <c r="D230" s="305">
        <v>277</v>
      </c>
      <c r="E230" s="305">
        <v>128</v>
      </c>
      <c r="F230" s="275">
        <v>333</v>
      </c>
      <c r="P230" s="150" t="s">
        <v>52</v>
      </c>
      <c r="Q230" s="275">
        <v>165000000</v>
      </c>
      <c r="R230" s="275">
        <v>42200000</v>
      </c>
      <c r="S230" s="275">
        <v>123000000</v>
      </c>
    </row>
    <row r="231" spans="1:19">
      <c r="A231" s="150" t="s">
        <v>658</v>
      </c>
      <c r="B231" s="305">
        <v>333000</v>
      </c>
      <c r="C231" s="305">
        <v>196500</v>
      </c>
      <c r="D231" s="305">
        <v>344000</v>
      </c>
      <c r="E231" s="305">
        <v>167000</v>
      </c>
      <c r="F231" s="275">
        <v>412000</v>
      </c>
    </row>
    <row r="232" spans="1:19">
      <c r="A232" s="150" t="s">
        <v>1189</v>
      </c>
      <c r="B232" s="305">
        <v>61800</v>
      </c>
      <c r="C232" s="305">
        <v>45400</v>
      </c>
      <c r="D232" s="305">
        <v>73200</v>
      </c>
      <c r="E232" s="305">
        <v>33300</v>
      </c>
      <c r="F232" s="275">
        <v>87900</v>
      </c>
    </row>
    <row r="233" spans="1:19">
      <c r="A233" s="150" t="s">
        <v>107</v>
      </c>
      <c r="B233" s="305">
        <v>1260</v>
      </c>
      <c r="C233" s="305">
        <v>954</v>
      </c>
      <c r="D233" s="305">
        <v>1530</v>
      </c>
      <c r="E233" s="305">
        <v>695</v>
      </c>
      <c r="F233" s="275">
        <v>1850</v>
      </c>
    </row>
    <row r="234" spans="1:19">
      <c r="A234" s="150" t="s">
        <v>1187</v>
      </c>
      <c r="B234" s="69">
        <v>50.6</v>
      </c>
      <c r="C234" s="305">
        <v>38.799999999999997</v>
      </c>
      <c r="D234" s="305">
        <v>62</v>
      </c>
      <c r="E234" s="305">
        <v>28.1</v>
      </c>
      <c r="F234" s="275">
        <v>75.099999999999994</v>
      </c>
    </row>
    <row r="235" spans="1:19">
      <c r="A235" s="150" t="s">
        <v>1234</v>
      </c>
      <c r="B235" s="305">
        <v>69500</v>
      </c>
      <c r="C235" s="305">
        <v>25700</v>
      </c>
      <c r="D235" s="305">
        <v>54300</v>
      </c>
      <c r="E235" s="305">
        <v>30700</v>
      </c>
      <c r="F235" s="275">
        <v>64500</v>
      </c>
    </row>
    <row r="236" spans="1:19" ht="25.5">
      <c r="A236" s="150" t="s">
        <v>1124</v>
      </c>
      <c r="B236" s="305">
        <v>8940</v>
      </c>
      <c r="C236" s="305">
        <v>6610</v>
      </c>
      <c r="D236" s="305">
        <v>10600</v>
      </c>
      <c r="E236" s="305">
        <v>4870</v>
      </c>
      <c r="F236" s="275">
        <v>12700</v>
      </c>
    </row>
    <row r="237" spans="1:19">
      <c r="A237" s="150" t="s">
        <v>1125</v>
      </c>
      <c r="B237" s="305">
        <v>6290</v>
      </c>
      <c r="C237" s="305">
        <v>4330</v>
      </c>
      <c r="D237" s="305">
        <v>7100</v>
      </c>
      <c r="E237" s="305">
        <v>3380</v>
      </c>
      <c r="F237" s="275">
        <v>8520</v>
      </c>
    </row>
    <row r="238" spans="1:19">
      <c r="A238" s="150" t="s">
        <v>1237</v>
      </c>
      <c r="B238" s="305">
        <v>185000</v>
      </c>
      <c r="C238" s="305">
        <v>49900</v>
      </c>
      <c r="D238" s="305">
        <v>148000</v>
      </c>
      <c r="E238" s="305">
        <v>82700</v>
      </c>
      <c r="F238" s="275">
        <v>176000</v>
      </c>
    </row>
    <row r="239" spans="1:19">
      <c r="A239" s="150" t="s">
        <v>1238</v>
      </c>
      <c r="B239" s="305">
        <v>395000</v>
      </c>
      <c r="C239" s="305">
        <v>291000</v>
      </c>
      <c r="D239" s="305">
        <v>469000</v>
      </c>
      <c r="E239" s="305">
        <v>217000</v>
      </c>
      <c r="F239" s="275">
        <v>564000</v>
      </c>
    </row>
    <row r="241" spans="1:6" ht="15">
      <c r="A241" s="55" t="s">
        <v>705</v>
      </c>
    </row>
    <row r="242" spans="1:6" ht="42.75">
      <c r="A242" s="150" t="s">
        <v>430</v>
      </c>
      <c r="B242" s="147" t="s">
        <v>1105</v>
      </c>
      <c r="C242" s="147" t="s">
        <v>1079</v>
      </c>
      <c r="D242" s="306" t="s">
        <v>823</v>
      </c>
      <c r="E242" s="306" t="s">
        <v>563</v>
      </c>
      <c r="F242" s="147" t="s">
        <v>40</v>
      </c>
    </row>
    <row r="243" spans="1:6">
      <c r="A243" s="150" t="s">
        <v>108</v>
      </c>
      <c r="B243" s="73">
        <f>(15100000/$B$75)*100</f>
        <v>4.71875</v>
      </c>
      <c r="C243" s="73">
        <f>(10700000/$B$75)*100</f>
        <v>3.34375</v>
      </c>
      <c r="D243" s="73">
        <f>(17400000/$B$75)*100</f>
        <v>5.4375</v>
      </c>
      <c r="E243" s="73">
        <f>(8130000/$B$75)*100</f>
        <v>2.5406249999999999</v>
      </c>
      <c r="F243" s="73">
        <f>(21000000/$B$75)*100</f>
        <v>6.5625</v>
      </c>
    </row>
    <row r="244" spans="1:6">
      <c r="A244" s="150" t="s">
        <v>109</v>
      </c>
      <c r="B244" s="73">
        <f>(93700/$B$75)*100</f>
        <v>2.9281249999999998E-2</v>
      </c>
      <c r="C244" s="73">
        <f>(69400/$B$75)*100</f>
        <v>2.1687499999999998E-2</v>
      </c>
      <c r="D244" s="73">
        <f>(111000/$B$75)*100</f>
        <v>3.4687500000000003E-2</v>
      </c>
      <c r="E244" s="73">
        <f>(51300/$B$75)*100</f>
        <v>1.603125E-2</v>
      </c>
      <c r="F244" s="73">
        <f>(133000/$B$75)*100</f>
        <v>4.1562499999999995E-2</v>
      </c>
    </row>
    <row r="245" spans="1:6">
      <c r="A245" s="150" t="s">
        <v>658</v>
      </c>
      <c r="B245" s="73">
        <f>(129000000/$B$75)*100</f>
        <v>40.3125</v>
      </c>
      <c r="C245" s="73">
        <f>(78300000/$B$75)*100</f>
        <v>24.46875</v>
      </c>
      <c r="D245" s="73">
        <f>(137000000/$B$75)*100</f>
        <v>42.8125</v>
      </c>
      <c r="E245" s="73">
        <f>(67000000/$B$75)*100</f>
        <v>20.9375</v>
      </c>
      <c r="F245" s="73">
        <f>(165000000/$B$75)*100</f>
        <v>51.5625</v>
      </c>
    </row>
    <row r="246" spans="1:6">
      <c r="A246" s="150" t="s">
        <v>1189</v>
      </c>
      <c r="B246" s="73">
        <f>(24700000/$B$75)*100</f>
        <v>7.7187500000000009</v>
      </c>
      <c r="C246" s="73">
        <f>(18200000/$B$75)*100</f>
        <v>5.6875</v>
      </c>
      <c r="D246" s="73">
        <f>(29300000/$B$75)*100</f>
        <v>9.15625</v>
      </c>
      <c r="E246" s="73">
        <f>(13300000/$B$75)*100</f>
        <v>4.15625</v>
      </c>
      <c r="F246" s="73">
        <f>(35100000/$B$75)*100</f>
        <v>10.96875</v>
      </c>
    </row>
    <row r="247" spans="1:6">
      <c r="A247" s="150" t="s">
        <v>107</v>
      </c>
      <c r="B247" s="73">
        <f>(503000/$B$75)*100</f>
        <v>0.15718749999999998</v>
      </c>
      <c r="C247" s="73">
        <f>(382000/$B$75)*100</f>
        <v>0.119375</v>
      </c>
      <c r="D247" s="73">
        <f>(611000/$B$75)*100</f>
        <v>0.19093750000000001</v>
      </c>
      <c r="E247" s="73">
        <f>(278000/$B$75)*100</f>
        <v>8.6874999999999994E-2</v>
      </c>
      <c r="F247" s="73">
        <f>(741000/$B$75)*100</f>
        <v>0.2315625</v>
      </c>
    </row>
    <row r="248" spans="1:6">
      <c r="A248" s="150" t="s">
        <v>1187</v>
      </c>
      <c r="B248" s="73">
        <f>(20200/$B$75)*100</f>
        <v>6.3125000000000004E-3</v>
      </c>
      <c r="C248" s="73">
        <f>(15500/$B$75)*100</f>
        <v>4.84375E-3</v>
      </c>
      <c r="D248" s="73">
        <f>(24800/$B$75)*100</f>
        <v>7.7499999999999999E-3</v>
      </c>
      <c r="E248" s="73">
        <f>(11200/$B$75)*100</f>
        <v>3.4999999999999996E-3</v>
      </c>
      <c r="F248" s="73">
        <f>(30000/$B$75)*100</f>
        <v>9.3749999999999997E-3</v>
      </c>
    </row>
    <row r="249" spans="1:6">
      <c r="A249" s="150" t="s">
        <v>1234</v>
      </c>
      <c r="B249" s="73">
        <f>(27800000/$B$75)*100</f>
        <v>8.6875</v>
      </c>
      <c r="C249" s="73">
        <f>(10300000/$B$75)*100</f>
        <v>3.21875</v>
      </c>
      <c r="D249" s="73">
        <f>(21700000/$B$75)*100</f>
        <v>6.78125</v>
      </c>
      <c r="E249" s="73">
        <f>(12300000/$B$75)*100</f>
        <v>3.84375</v>
      </c>
      <c r="F249" s="73">
        <f>(25800000/$B$75)*100</f>
        <v>8.0625</v>
      </c>
    </row>
    <row r="250" spans="1:6" ht="25.5">
      <c r="A250" s="150" t="s">
        <v>1124</v>
      </c>
      <c r="B250" s="73">
        <f>(3580000/$B$75)*100</f>
        <v>1.1187499999999999</v>
      </c>
      <c r="C250" s="73">
        <f>(2640000/$B$75)*100</f>
        <v>0.82500000000000007</v>
      </c>
      <c r="D250" s="73">
        <f>(4230000/$B$75)*100</f>
        <v>1.3218749999999999</v>
      </c>
      <c r="E250" s="73">
        <f>(1950000/$B$75)*100</f>
        <v>0.609375</v>
      </c>
      <c r="F250" s="73">
        <f>(5080000/$B$75)*100</f>
        <v>1.5874999999999999</v>
      </c>
    </row>
    <row r="251" spans="1:6">
      <c r="A251" s="150" t="s">
        <v>1125</v>
      </c>
      <c r="B251" s="73">
        <f>(2520000/$B$75)*100</f>
        <v>0.78749999999999998</v>
      </c>
      <c r="C251" s="73">
        <f>(1730000/$B$75)*100</f>
        <v>0.54062499999999991</v>
      </c>
      <c r="D251" s="73">
        <f>(2840000/$B$75)*100</f>
        <v>0.88749999999999996</v>
      </c>
      <c r="E251" s="73">
        <f>(1350000/$B$75)*100</f>
        <v>0.421875</v>
      </c>
      <c r="F251" s="73">
        <f>(3410000/$B$75)*100</f>
        <v>1.065625</v>
      </c>
    </row>
    <row r="252" spans="1:6">
      <c r="A252" s="150" t="s">
        <v>1237</v>
      </c>
      <c r="B252" s="73">
        <f>(37000000/$B$75)*100</f>
        <v>11.5625</v>
      </c>
      <c r="C252" s="73">
        <f>(9990000/$B$75)*100</f>
        <v>3.1218750000000002</v>
      </c>
      <c r="D252" s="73">
        <f>(29600000/$B$75)*100</f>
        <v>9.25</v>
      </c>
      <c r="E252" s="73">
        <f>(16500000/$B$75)*100</f>
        <v>5.15625</v>
      </c>
      <c r="F252" s="73">
        <f>(35200000/$B$75)*100</f>
        <v>11</v>
      </c>
    </row>
    <row r="253" spans="1:6">
      <c r="A253" s="150" t="s">
        <v>1238</v>
      </c>
      <c r="B253" s="73">
        <f>(79100000/$B$75)*100</f>
        <v>24.71875</v>
      </c>
      <c r="C253" s="73">
        <f>(58100000/$B$75)*100</f>
        <v>18.15625</v>
      </c>
      <c r="D253" s="73">
        <f>(93700000/$B$75)*100</f>
        <v>29.281249999999996</v>
      </c>
      <c r="E253" s="73">
        <f>(43300000/$B$75)*100</f>
        <v>13.53125</v>
      </c>
      <c r="F253" s="73">
        <f>(113000000/$B$75)*100</f>
        <v>35.3125</v>
      </c>
    </row>
    <row r="254" spans="1:6">
      <c r="A254" s="142" t="s">
        <v>646</v>
      </c>
      <c r="B254" s="73">
        <f>SUM(B243:B253)</f>
        <v>99.817781249999996</v>
      </c>
      <c r="C254" s="73">
        <f>SUM(C243:C253)</f>
        <v>59.50840625</v>
      </c>
      <c r="D254" s="73">
        <f>SUM(D243:D253)</f>
        <v>105.1615</v>
      </c>
      <c r="E254" s="73">
        <f>SUM(E243:E253)</f>
        <v>51.303281249999998</v>
      </c>
      <c r="F254" s="73">
        <f>SUM(F243:F253)</f>
        <v>126.404375</v>
      </c>
    </row>
    <row r="255" spans="1:6">
      <c r="A255" s="150" t="s">
        <v>52</v>
      </c>
      <c r="B255" s="275">
        <v>320000000</v>
      </c>
      <c r="C255" s="275">
        <v>191000000</v>
      </c>
      <c r="D255" s="307">
        <v>338000000</v>
      </c>
      <c r="E255" s="307">
        <v>165000000</v>
      </c>
      <c r="F255" s="275">
        <v>404000000</v>
      </c>
    </row>
    <row r="259" spans="1:19">
      <c r="P259" t="s">
        <v>990</v>
      </c>
    </row>
    <row r="260" spans="1:19" ht="28.5">
      <c r="P260" s="150" t="s">
        <v>430</v>
      </c>
      <c r="Q260" s="47" t="s">
        <v>1001</v>
      </c>
      <c r="R260" s="147" t="s">
        <v>204</v>
      </c>
      <c r="S260" s="47" t="s">
        <v>76</v>
      </c>
    </row>
    <row r="261" spans="1:19">
      <c r="P261" s="150" t="s">
        <v>108</v>
      </c>
      <c r="Q261" s="308">
        <v>19200</v>
      </c>
      <c r="R261" s="308">
        <v>1620</v>
      </c>
      <c r="S261" s="308">
        <v>17600</v>
      </c>
    </row>
    <row r="262" spans="1:19" ht="30">
      <c r="A262" s="59" t="s">
        <v>274</v>
      </c>
      <c r="B262" s="47" t="s">
        <v>511</v>
      </c>
      <c r="C262" s="304" t="s">
        <v>202</v>
      </c>
      <c r="P262" s="150" t="s">
        <v>109</v>
      </c>
      <c r="Q262" s="47">
        <v>125</v>
      </c>
      <c r="R262" s="308">
        <v>8.9499999999999993</v>
      </c>
      <c r="S262" s="47">
        <v>116</v>
      </c>
    </row>
    <row r="263" spans="1:19" ht="25.5">
      <c r="A263" s="147" t="s">
        <v>56</v>
      </c>
      <c r="B263" s="302">
        <f>(2660000/$B$75)*100</f>
        <v>0.83125000000000004</v>
      </c>
      <c r="C263" s="304"/>
      <c r="P263" s="150" t="s">
        <v>658</v>
      </c>
      <c r="Q263" s="308">
        <v>151000</v>
      </c>
      <c r="R263" s="308">
        <v>24100</v>
      </c>
      <c r="S263" s="308">
        <v>127000</v>
      </c>
    </row>
    <row r="264" spans="1:19" ht="25.5">
      <c r="A264" s="147" t="s">
        <v>57</v>
      </c>
      <c r="B264" s="302">
        <f>(498000/$B$75)*100</f>
        <v>0.15562499999999999</v>
      </c>
      <c r="C264" s="304"/>
      <c r="P264" s="150" t="s">
        <v>1189</v>
      </c>
      <c r="Q264" s="308">
        <v>33600</v>
      </c>
      <c r="R264" s="308">
        <v>3020</v>
      </c>
      <c r="S264" s="308">
        <v>30600</v>
      </c>
    </row>
    <row r="265" spans="1:19">
      <c r="A265" s="147" t="s">
        <v>58</v>
      </c>
      <c r="B265" s="302">
        <f>(166000/$B$75)*100</f>
        <v>5.1874999999999998E-2</v>
      </c>
      <c r="C265" s="304"/>
      <c r="P265" s="150" t="s">
        <v>107</v>
      </c>
      <c r="Q265" s="308">
        <v>681</v>
      </c>
      <c r="R265" s="308">
        <v>25.5</v>
      </c>
      <c r="S265" s="308">
        <v>656</v>
      </c>
    </row>
    <row r="266" spans="1:19" ht="25.5">
      <c r="A266" s="147" t="s">
        <v>199</v>
      </c>
      <c r="B266" s="302">
        <f>(811000/$B$75)*100</f>
        <v>0.25343750000000004</v>
      </c>
      <c r="C266" s="304"/>
      <c r="P266" s="150" t="s">
        <v>1187</v>
      </c>
      <c r="Q266" s="47">
        <v>27.7</v>
      </c>
      <c r="R266" s="308">
        <v>0.80700000000000005</v>
      </c>
      <c r="S266" s="47">
        <v>26.9</v>
      </c>
    </row>
    <row r="267" spans="1:19">
      <c r="A267" s="147" t="s">
        <v>201</v>
      </c>
      <c r="B267" s="302">
        <f>(135000/$B$75)*100</f>
        <v>4.2187500000000003E-2</v>
      </c>
      <c r="C267" s="304"/>
      <c r="P267" s="150" t="s">
        <v>1234</v>
      </c>
      <c r="Q267" s="308">
        <v>21600</v>
      </c>
      <c r="R267" s="308">
        <v>10300</v>
      </c>
      <c r="S267" s="308">
        <v>11300</v>
      </c>
    </row>
    <row r="268" spans="1:19" ht="51">
      <c r="A268" s="147" t="s">
        <v>200</v>
      </c>
      <c r="B268" s="302">
        <f>+(54100/$B$75)*100</f>
        <v>1.6906250000000001E-2</v>
      </c>
      <c r="C268" s="304">
        <f>SUM(B263:B268)</f>
        <v>1.35128125</v>
      </c>
      <c r="P268" s="150" t="s">
        <v>1124</v>
      </c>
      <c r="Q268" s="308">
        <v>4790</v>
      </c>
      <c r="R268" s="308">
        <v>345</v>
      </c>
      <c r="S268" s="308">
        <v>4440</v>
      </c>
    </row>
    <row r="269" spans="1:19">
      <c r="A269" s="147" t="s">
        <v>1030</v>
      </c>
      <c r="B269" s="302">
        <f>+(19700000/$B$75)*100</f>
        <v>6.15625</v>
      </c>
      <c r="C269" s="304">
        <f>(1*B269)</f>
        <v>6.15625</v>
      </c>
      <c r="P269" s="150" t="s">
        <v>1125</v>
      </c>
      <c r="Q269" s="308">
        <v>4510</v>
      </c>
      <c r="R269" s="308">
        <v>371</v>
      </c>
      <c r="S269" s="308">
        <v>4140</v>
      </c>
    </row>
    <row r="270" spans="1:19">
      <c r="A270" s="147" t="s">
        <v>68</v>
      </c>
      <c r="B270" s="302">
        <f>(76200000/$B$75)*100</f>
        <v>23.8125</v>
      </c>
      <c r="C270" s="304"/>
      <c r="P270" s="150" t="s">
        <v>1237</v>
      </c>
      <c r="Q270" s="308">
        <v>59100</v>
      </c>
      <c r="R270" s="308">
        <v>26400</v>
      </c>
      <c r="S270" s="308">
        <v>32800</v>
      </c>
    </row>
    <row r="271" spans="1:19" ht="25.5">
      <c r="A271" s="147" t="s">
        <v>69</v>
      </c>
      <c r="B271" s="302">
        <f>(14300000/$B$75)*100</f>
        <v>4.46875</v>
      </c>
      <c r="C271" s="304"/>
      <c r="P271" s="150" t="s">
        <v>1238</v>
      </c>
      <c r="Q271" s="308">
        <v>211000</v>
      </c>
      <c r="R271" s="308">
        <v>14300</v>
      </c>
      <c r="S271" s="308">
        <v>197000</v>
      </c>
    </row>
    <row r="272" spans="1:19">
      <c r="A272" s="147" t="s">
        <v>70</v>
      </c>
      <c r="B272" s="302">
        <f>(4750000/$B$75)*100</f>
        <v>1.484375</v>
      </c>
      <c r="C272" s="304"/>
    </row>
    <row r="273" spans="1:19">
      <c r="A273" s="147" t="s">
        <v>71</v>
      </c>
      <c r="B273" s="302">
        <f>(23200000/$B$75)*100</f>
        <v>7.2499999999999991</v>
      </c>
      <c r="C273" s="304"/>
    </row>
    <row r="274" spans="1:19">
      <c r="A274" s="147" t="s">
        <v>72</v>
      </c>
      <c r="B274" s="302">
        <f>(3880000/$B$75)*100</f>
        <v>1.2125000000000001</v>
      </c>
      <c r="C274" s="304"/>
    </row>
    <row r="275" spans="1:19">
      <c r="A275" s="147" t="s">
        <v>73</v>
      </c>
      <c r="B275" s="302">
        <f>(1550000/$B$75)*100</f>
        <v>0.484375</v>
      </c>
      <c r="C275" s="304">
        <f>SUM(B270:B275)</f>
        <v>38.712499999999999</v>
      </c>
    </row>
    <row r="276" spans="1:19">
      <c r="A276" s="147" t="s">
        <v>203</v>
      </c>
      <c r="B276" s="302">
        <f>(566000/$B$75)*100</f>
        <v>0.176875</v>
      </c>
      <c r="C276" s="304">
        <f>(1*B276)</f>
        <v>0.176875</v>
      </c>
    </row>
    <row r="277" spans="1:19">
      <c r="A277" s="147" t="s">
        <v>74</v>
      </c>
      <c r="B277" s="303">
        <f>SUM(B263:B276)</f>
        <v>46.396906250000001</v>
      </c>
      <c r="C277" s="304">
        <f>SUM(C263:C276)</f>
        <v>46.396906250000001</v>
      </c>
    </row>
    <row r="279" spans="1:19" ht="51">
      <c r="A279" s="147"/>
      <c r="B279" s="47" t="s">
        <v>170</v>
      </c>
      <c r="C279" s="47" t="s">
        <v>339</v>
      </c>
      <c r="D279" s="47" t="s">
        <v>340</v>
      </c>
      <c r="E279" s="47" t="s">
        <v>172</v>
      </c>
      <c r="F279" s="47" t="s">
        <v>341</v>
      </c>
      <c r="G279" s="147" t="s">
        <v>176</v>
      </c>
    </row>
    <row r="280" spans="1:19" ht="25.5">
      <c r="A280" s="147" t="s">
        <v>171</v>
      </c>
      <c r="B280" s="74">
        <f>(4320000/$B$75)*100</f>
        <v>1.35</v>
      </c>
      <c r="C280" s="74">
        <f>(4320000/$B$75)*100</f>
        <v>1.35</v>
      </c>
      <c r="D280" s="74">
        <f>(4320000/$B$75)*100</f>
        <v>1.35</v>
      </c>
      <c r="E280" s="74">
        <f>(4320000/$B$75)*100</f>
        <v>1.35</v>
      </c>
      <c r="F280" s="74">
        <f>(4320000/$B$75)*100</f>
        <v>1.35</v>
      </c>
      <c r="G280" s="313">
        <f>(5717000/$B$75)*100</f>
        <v>1.7865625000000001</v>
      </c>
      <c r="P280" s="163" t="s">
        <v>991</v>
      </c>
      <c r="Q280" s="155" t="s">
        <v>33</v>
      </c>
      <c r="R280" s="155" t="s">
        <v>34</v>
      </c>
    </row>
    <row r="281" spans="1:19" ht="25.5">
      <c r="A281" s="147" t="s">
        <v>240</v>
      </c>
      <c r="B281" s="74">
        <f>(97000000/$B$75)*100</f>
        <v>30.312499999999996</v>
      </c>
      <c r="C281" s="74">
        <f>(12300000/$B$75)*100</f>
        <v>3.84375</v>
      </c>
      <c r="D281" s="74">
        <f>(56500000/$B$75)*100</f>
        <v>17.65625</v>
      </c>
      <c r="E281" s="74">
        <f>(37900000/$B$75)*100</f>
        <v>11.84375</v>
      </c>
      <c r="F281" s="313">
        <f>+(19700000/$B$75)*100</f>
        <v>6.15625</v>
      </c>
      <c r="G281" s="313">
        <f>(1*E15)</f>
        <v>20.28125</v>
      </c>
      <c r="P281" s="150" t="s">
        <v>430</v>
      </c>
      <c r="Q281" s="147" t="s">
        <v>1001</v>
      </c>
      <c r="R281" s="147" t="s">
        <v>204</v>
      </c>
      <c r="S281" s="147" t="s">
        <v>76</v>
      </c>
    </row>
    <row r="282" spans="1:19">
      <c r="A282" s="147" t="s">
        <v>76</v>
      </c>
      <c r="B282" s="74">
        <f>(218000000/$B$75)*100</f>
        <v>68.125</v>
      </c>
      <c r="C282" s="74">
        <f>(174000000/$B$75)*100</f>
        <v>54.374999999999993</v>
      </c>
      <c r="D282" s="74">
        <f>(276000000/$B$75)*100</f>
        <v>86.25</v>
      </c>
      <c r="E282" s="74">
        <f>($C$218+$C$217)</f>
        <v>38.314375000000005</v>
      </c>
      <c r="F282" s="74">
        <f>(C276+C275)</f>
        <v>38.889375000000001</v>
      </c>
      <c r="G282" s="313">
        <f>(334000000/$B$75)*100</f>
        <v>104.375</v>
      </c>
      <c r="P282" s="150" t="s">
        <v>108</v>
      </c>
      <c r="Q282" s="73">
        <f>(7690000/$B$75)*100</f>
        <v>2.4031250000000002</v>
      </c>
      <c r="R282" s="73">
        <f>(648000/$B$75)*100</f>
        <v>0.20249999999999999</v>
      </c>
      <c r="S282" s="73">
        <f>(7040000/$B$75)*100</f>
        <v>2.1999999999999997</v>
      </c>
    </row>
    <row r="283" spans="1:19" ht="25.5">
      <c r="A283" s="147" t="s">
        <v>646</v>
      </c>
      <c r="B283" s="302">
        <f t="shared" ref="B283:G283" si="1">SUM(B280:B282)</f>
        <v>99.787499999999994</v>
      </c>
      <c r="C283" s="304">
        <f t="shared" si="1"/>
        <v>59.568749999999994</v>
      </c>
      <c r="D283" s="304">
        <f t="shared" si="1"/>
        <v>105.25624999999999</v>
      </c>
      <c r="E283" s="304">
        <f t="shared" si="1"/>
        <v>51.508125000000007</v>
      </c>
      <c r="F283" s="304">
        <f t="shared" si="1"/>
        <v>46.395625000000003</v>
      </c>
      <c r="G283" s="302">
        <f t="shared" si="1"/>
        <v>126.4428125</v>
      </c>
      <c r="P283" s="150" t="s">
        <v>109</v>
      </c>
      <c r="Q283" s="73">
        <f>(50000/$B$75)*100</f>
        <v>1.5625E-2</v>
      </c>
      <c r="R283" s="73">
        <f>(3580/$B$75)*100</f>
        <v>1.11875E-3</v>
      </c>
      <c r="S283" s="73">
        <f>(46400/$B$75)*100</f>
        <v>1.4500000000000001E-2</v>
      </c>
    </row>
    <row r="284" spans="1:19" ht="25.5">
      <c r="A284" s="147"/>
      <c r="B284" s="302"/>
      <c r="C284" s="304"/>
      <c r="D284" s="304"/>
      <c r="E284" s="304"/>
      <c r="F284" s="304"/>
      <c r="G284" s="302"/>
      <c r="P284" s="150" t="s">
        <v>658</v>
      </c>
      <c r="Q284" s="73">
        <f>(60600000/$B$75)*100</f>
        <v>18.9375</v>
      </c>
      <c r="R284" s="73">
        <f>(9650000/$B$75)*100</f>
        <v>3.015625</v>
      </c>
      <c r="S284" s="73">
        <f>(51000000/$B$75)*100</f>
        <v>15.937499999999998</v>
      </c>
    </row>
    <row r="285" spans="1:19" ht="25.5">
      <c r="A285" s="147"/>
      <c r="B285" s="302"/>
      <c r="C285" s="304"/>
      <c r="D285" s="304"/>
      <c r="E285" s="304"/>
      <c r="F285" s="304"/>
      <c r="G285" s="302"/>
      <c r="P285" s="150" t="s">
        <v>1189</v>
      </c>
      <c r="Q285" s="73">
        <f>(13400000/$B$75)*100</f>
        <v>4.1875</v>
      </c>
      <c r="R285" s="73">
        <f>(1210000/$B$75)*100</f>
        <v>0.37812499999999999</v>
      </c>
      <c r="S285" s="73">
        <f>(12100000/$B$75)*100</f>
        <v>3.78125</v>
      </c>
    </row>
    <row r="286" spans="1:19">
      <c r="A286" s="147"/>
      <c r="B286" s="302"/>
      <c r="C286" s="304"/>
      <c r="D286" s="304"/>
      <c r="E286" s="304"/>
      <c r="F286" s="304"/>
      <c r="G286" s="302"/>
      <c r="P286" s="150" t="s">
        <v>107</v>
      </c>
      <c r="Q286" s="73">
        <f>(272000/$B$75)*100</f>
        <v>8.4999999999999992E-2</v>
      </c>
      <c r="R286" s="73">
        <f>(10200/$B$75)*100</f>
        <v>3.1875000000000002E-3</v>
      </c>
      <c r="S286" s="73">
        <f>(263000/$B$75)*100</f>
        <v>8.2187499999999997E-2</v>
      </c>
    </row>
    <row r="287" spans="1:19" ht="25.5">
      <c r="A287" s="147"/>
      <c r="B287" s="302"/>
      <c r="C287" s="304"/>
      <c r="D287" s="304"/>
      <c r="E287" s="304"/>
      <c r="F287" s="304"/>
      <c r="G287" s="302"/>
      <c r="P287" s="150" t="s">
        <v>1187</v>
      </c>
      <c r="Q287" s="73">
        <f>(11100/$B$75)*100</f>
        <v>3.4687500000000005E-3</v>
      </c>
      <c r="R287" s="73">
        <f>(323/$B$75)*100</f>
        <v>1.0093749999999999E-4</v>
      </c>
      <c r="S287" s="73">
        <f>(10800/$B$75)*100</f>
        <v>3.375E-3</v>
      </c>
    </row>
    <row r="288" spans="1:19">
      <c r="P288" s="150" t="s">
        <v>1234</v>
      </c>
      <c r="Q288" s="73">
        <f>(8630000/$B$75)*100</f>
        <v>2.6968749999999999</v>
      </c>
      <c r="R288" s="73">
        <f>(4130000/$B$75)*100</f>
        <v>1.2906249999999999</v>
      </c>
      <c r="S288" s="73">
        <f>(4500000/$B$75)*100</f>
        <v>1.40625</v>
      </c>
    </row>
    <row r="289" spans="1:19" ht="51">
      <c r="A289" s="196" t="s">
        <v>706</v>
      </c>
      <c r="P289" s="150" t="s">
        <v>1124</v>
      </c>
      <c r="Q289" s="73">
        <f>(1920000/$B$75)*100</f>
        <v>0.6</v>
      </c>
      <c r="R289" s="73">
        <f>(138000/$B$75)*100</f>
        <v>4.3124999999999997E-2</v>
      </c>
      <c r="S289" s="73">
        <f>(1780000/$B$75)*100</f>
        <v>0.55625000000000002</v>
      </c>
    </row>
    <row r="290" spans="1:19" ht="42.75">
      <c r="A290" s="150" t="s">
        <v>430</v>
      </c>
      <c r="B290" s="47" t="s">
        <v>173</v>
      </c>
      <c r="C290" s="147" t="s">
        <v>339</v>
      </c>
      <c r="D290" s="147" t="s">
        <v>340</v>
      </c>
      <c r="E290" s="147" t="s">
        <v>174</v>
      </c>
      <c r="F290" s="147" t="s">
        <v>341</v>
      </c>
      <c r="G290" s="147" t="s">
        <v>342</v>
      </c>
      <c r="P290" s="150" t="s">
        <v>1125</v>
      </c>
      <c r="Q290" s="73">
        <f>(1800000/$B$75)*100</f>
        <v>0.5625</v>
      </c>
      <c r="R290" s="73">
        <f>(149000/$B$75)*100</f>
        <v>4.65625E-2</v>
      </c>
      <c r="S290" s="73">
        <f>(1660000/$B$75)*100</f>
        <v>0.51875000000000004</v>
      </c>
    </row>
    <row r="291" spans="1:19">
      <c r="A291" s="150" t="s">
        <v>108</v>
      </c>
      <c r="B291" s="305">
        <v>37700</v>
      </c>
      <c r="C291" s="305">
        <v>26700</v>
      </c>
      <c r="D291" s="305">
        <v>43800</v>
      </c>
      <c r="E291" s="305">
        <v>20600</v>
      </c>
      <c r="F291" s="305">
        <v>19200</v>
      </c>
      <c r="G291" s="275">
        <v>53000</v>
      </c>
      <c r="P291" s="150" t="s">
        <v>1237</v>
      </c>
      <c r="Q291" s="73">
        <f>(11800000/$B$75)*100</f>
        <v>3.6875</v>
      </c>
      <c r="R291" s="73">
        <f>(5270000/$B$75)*100</f>
        <v>1.6468750000000001</v>
      </c>
      <c r="S291" s="73">
        <f>(6560000/$B$75)*100</f>
        <v>2.0500000000000003</v>
      </c>
    </row>
    <row r="292" spans="1:19" ht="25.5">
      <c r="A292" s="150" t="s">
        <v>109</v>
      </c>
      <c r="B292" s="69">
        <v>234</v>
      </c>
      <c r="C292" s="305">
        <v>172</v>
      </c>
      <c r="D292" s="305">
        <v>277</v>
      </c>
      <c r="E292" s="305">
        <v>128</v>
      </c>
      <c r="F292" s="305">
        <v>125</v>
      </c>
      <c r="G292" s="275">
        <v>334</v>
      </c>
      <c r="P292" s="150" t="s">
        <v>1238</v>
      </c>
      <c r="Q292" s="73">
        <f>(42200000/$B$75)*100</f>
        <v>13.1875</v>
      </c>
      <c r="R292" s="73">
        <f>(2860000/$B$75)*100</f>
        <v>0.89374999999999993</v>
      </c>
      <c r="S292" s="73">
        <f>(39400000/$B$75)*100</f>
        <v>12.3125</v>
      </c>
    </row>
    <row r="293" spans="1:19">
      <c r="A293" s="150" t="s">
        <v>658</v>
      </c>
      <c r="B293" s="305">
        <v>333000</v>
      </c>
      <c r="C293" s="305">
        <v>196000</v>
      </c>
      <c r="D293" s="305">
        <v>343000</v>
      </c>
      <c r="E293" s="305">
        <v>167000</v>
      </c>
      <c r="F293" s="305">
        <v>151000</v>
      </c>
      <c r="G293" s="275">
        <v>412000</v>
      </c>
      <c r="P293" s="142" t="s">
        <v>646</v>
      </c>
      <c r="Q293" s="73">
        <f>SUM(Q282:Q292)</f>
        <v>46.36659375</v>
      </c>
      <c r="R293" s="73">
        <f>SUM(R282:R292)</f>
        <v>7.5215946874999995</v>
      </c>
      <c r="S293" s="73">
        <f>SUM(S282:S292)</f>
        <v>38.862562499999996</v>
      </c>
    </row>
    <row r="294" spans="1:19" ht="25.5">
      <c r="A294" s="150" t="s">
        <v>1189</v>
      </c>
      <c r="B294" s="305">
        <v>61800</v>
      </c>
      <c r="C294" s="305">
        <v>45100</v>
      </c>
      <c r="D294" s="305">
        <v>72800</v>
      </c>
      <c r="E294" s="305">
        <v>33000</v>
      </c>
      <c r="F294" s="305">
        <v>33600</v>
      </c>
      <c r="G294" s="275">
        <v>87400</v>
      </c>
      <c r="P294" s="150" t="s">
        <v>52</v>
      </c>
      <c r="Q294" s="275">
        <v>148000000</v>
      </c>
      <c r="R294" s="275">
        <v>24100000</v>
      </c>
      <c r="S294" s="275">
        <v>124000000</v>
      </c>
    </row>
    <row r="295" spans="1:19">
      <c r="A295" s="150" t="s">
        <v>107</v>
      </c>
      <c r="B295" s="305">
        <v>1260</v>
      </c>
      <c r="C295" s="305">
        <v>954</v>
      </c>
      <c r="D295" s="305">
        <v>1530</v>
      </c>
      <c r="E295" s="305">
        <v>696</v>
      </c>
      <c r="F295" s="305">
        <v>681</v>
      </c>
      <c r="G295" s="275">
        <v>1860</v>
      </c>
    </row>
    <row r="296" spans="1:19">
      <c r="A296" s="150" t="s">
        <v>1187</v>
      </c>
      <c r="B296" s="69">
        <v>50.6</v>
      </c>
      <c r="C296" s="305">
        <v>38.799999999999997</v>
      </c>
      <c r="D296" s="305">
        <v>62.1</v>
      </c>
      <c r="E296" s="305">
        <v>28.2</v>
      </c>
      <c r="F296" s="305">
        <v>27.7</v>
      </c>
      <c r="G296" s="275">
        <v>75.2</v>
      </c>
    </row>
    <row r="297" spans="1:19">
      <c r="A297" s="150" t="s">
        <v>1234</v>
      </c>
      <c r="B297" s="305">
        <v>69500</v>
      </c>
      <c r="C297" s="305">
        <v>25700</v>
      </c>
      <c r="D297" s="305">
        <v>54500</v>
      </c>
      <c r="E297" s="305">
        <v>30800</v>
      </c>
      <c r="F297" s="305">
        <v>21600</v>
      </c>
      <c r="G297" s="275">
        <v>64800</v>
      </c>
    </row>
    <row r="298" spans="1:19" ht="25.5">
      <c r="A298" s="150" t="s">
        <v>1124</v>
      </c>
      <c r="B298" s="305">
        <v>8940</v>
      </c>
      <c r="C298" s="305">
        <v>6600</v>
      </c>
      <c r="D298" s="305">
        <v>10600</v>
      </c>
      <c r="E298" s="305">
        <v>4870</v>
      </c>
      <c r="F298" s="305">
        <v>4790</v>
      </c>
      <c r="G298" s="275">
        <v>12700</v>
      </c>
    </row>
    <row r="299" spans="1:19">
      <c r="A299" s="150" t="s">
        <v>1125</v>
      </c>
      <c r="B299" s="305">
        <v>6290</v>
      </c>
      <c r="C299" s="305">
        <v>5650</v>
      </c>
      <c r="D299" s="305">
        <v>8420</v>
      </c>
      <c r="E299" s="305">
        <v>4710</v>
      </c>
      <c r="F299" s="305">
        <v>4510</v>
      </c>
      <c r="G299" s="275">
        <v>8520</v>
      </c>
    </row>
    <row r="300" spans="1:19">
      <c r="A300" s="150" t="s">
        <v>1237</v>
      </c>
      <c r="B300" s="305">
        <v>185000</v>
      </c>
      <c r="C300" s="305">
        <v>49900</v>
      </c>
      <c r="D300" s="305">
        <v>148000</v>
      </c>
      <c r="E300" s="305">
        <v>82700</v>
      </c>
      <c r="F300" s="305">
        <v>59100</v>
      </c>
      <c r="G300" s="275">
        <v>176000</v>
      </c>
    </row>
    <row r="301" spans="1:19">
      <c r="A301" s="150" t="s">
        <v>1238</v>
      </c>
      <c r="B301" s="305">
        <v>395000</v>
      </c>
      <c r="C301" s="305">
        <v>291000</v>
      </c>
      <c r="D301" s="305">
        <v>470000</v>
      </c>
      <c r="E301" s="305">
        <v>218000</v>
      </c>
      <c r="F301" s="305">
        <v>211000</v>
      </c>
      <c r="G301" s="275">
        <v>567000</v>
      </c>
    </row>
    <row r="308" spans="1:7" ht="15">
      <c r="A308" s="55" t="s">
        <v>705</v>
      </c>
    </row>
    <row r="309" spans="1:7" ht="51">
      <c r="A309" s="150" t="s">
        <v>430</v>
      </c>
      <c r="B309" s="147" t="s">
        <v>175</v>
      </c>
      <c r="C309" s="147" t="s">
        <v>339</v>
      </c>
      <c r="D309" s="314" t="s">
        <v>340</v>
      </c>
      <c r="E309" s="314" t="s">
        <v>177</v>
      </c>
      <c r="F309" s="147" t="s">
        <v>341</v>
      </c>
      <c r="G309" s="147" t="s">
        <v>176</v>
      </c>
    </row>
    <row r="310" spans="1:7">
      <c r="A310" s="150" t="s">
        <v>108</v>
      </c>
      <c r="B310" s="73">
        <f>(15300000/$B$75)*100</f>
        <v>4.78125</v>
      </c>
      <c r="C310" s="73">
        <f>(10700000/$B$75)*100</f>
        <v>3.34375</v>
      </c>
      <c r="D310" s="73">
        <f>(17500000/$B$75)*100</f>
        <v>5.46875</v>
      </c>
      <c r="E310" s="73">
        <f>(8230000/$B$75)*100</f>
        <v>2.5718749999999999</v>
      </c>
      <c r="F310" s="304">
        <f>(7690000/$B$75)*100</f>
        <v>2.4031250000000002</v>
      </c>
      <c r="G310" s="73">
        <f>(21000000/$B$75)*100</f>
        <v>6.5625</v>
      </c>
    </row>
    <row r="311" spans="1:7">
      <c r="A311" s="150" t="s">
        <v>109</v>
      </c>
      <c r="B311" s="73">
        <f>(94000/$B$75)*100</f>
        <v>2.9375000000000002E-2</v>
      </c>
      <c r="C311" s="73">
        <f>(68900/$B$75)*100</f>
        <v>2.1531250000000002E-2</v>
      </c>
      <c r="D311" s="73">
        <f>(111000/$B$75)*100</f>
        <v>3.4687500000000003E-2</v>
      </c>
      <c r="E311" s="73">
        <f>(51400/$B$75)*100</f>
        <v>1.60625E-2</v>
      </c>
      <c r="F311" s="304">
        <f>(50000/$B$75)*100</f>
        <v>1.5625E-2</v>
      </c>
      <c r="G311" s="73">
        <f>(133000/$B$75)*100</f>
        <v>4.1562499999999995E-2</v>
      </c>
    </row>
    <row r="312" spans="1:7">
      <c r="A312" s="150" t="s">
        <v>658</v>
      </c>
      <c r="B312" s="73">
        <f>(128000000/$B$75)*100</f>
        <v>40</v>
      </c>
      <c r="C312" s="73">
        <f>(78300000/$B$75)*100</f>
        <v>24.46875</v>
      </c>
      <c r="D312" s="73">
        <f>(137000000/$B$75)*100</f>
        <v>42.8125</v>
      </c>
      <c r="E312" s="73">
        <f>(66800000/$B$75)*100</f>
        <v>20.875</v>
      </c>
      <c r="F312" s="304">
        <f>(60600000/$B$75)*100</f>
        <v>18.9375</v>
      </c>
      <c r="G312" s="73">
        <f>(165000000/$B$75)*100</f>
        <v>51.5625</v>
      </c>
    </row>
    <row r="313" spans="1:7">
      <c r="A313" s="150" t="s">
        <v>1189</v>
      </c>
      <c r="B313" s="73">
        <f>(24500000/$B$75)*100</f>
        <v>7.6562500000000009</v>
      </c>
      <c r="C313" s="73">
        <f>(18100000/$B$75)*100</f>
        <v>5.65625</v>
      </c>
      <c r="D313" s="73">
        <f>(29100000/$B$75)*100</f>
        <v>9.09375</v>
      </c>
      <c r="E313" s="73">
        <f>(13200000/$B$75)*100</f>
        <v>4.125</v>
      </c>
      <c r="F313" s="304">
        <f>(13400000/$B$75)*100</f>
        <v>4.1875</v>
      </c>
      <c r="G313" s="73">
        <f>(35100000/$B$75)*100</f>
        <v>10.96875</v>
      </c>
    </row>
    <row r="314" spans="1:7">
      <c r="A314" s="150" t="s">
        <v>107</v>
      </c>
      <c r="B314" s="73">
        <f>(504000/$B$75)*100</f>
        <v>0.1575</v>
      </c>
      <c r="C314" s="73">
        <f>(382000/$B$75)*100</f>
        <v>0.119375</v>
      </c>
      <c r="D314" s="73">
        <f>(612000/$B$75)*100</f>
        <v>0.19125</v>
      </c>
      <c r="E314" s="73">
        <f>(279000/$B$75)*100</f>
        <v>8.7187500000000001E-2</v>
      </c>
      <c r="F314" s="304">
        <f>(272000/$B$75)*100</f>
        <v>8.4999999999999992E-2</v>
      </c>
      <c r="G314" s="73">
        <f>(741000/$B$75)*100</f>
        <v>0.2315625</v>
      </c>
    </row>
    <row r="315" spans="1:7">
      <c r="A315" s="150" t="s">
        <v>1187</v>
      </c>
      <c r="B315" s="73">
        <f>(20300/$B$75)*100</f>
        <v>6.3437500000000004E-3</v>
      </c>
      <c r="C315" s="73">
        <f>(15500/$B$75)*100</f>
        <v>4.84375E-3</v>
      </c>
      <c r="D315" s="73">
        <f>(24800/$B$75)*100</f>
        <v>7.7499999999999999E-3</v>
      </c>
      <c r="E315" s="73">
        <f>(11300/$B$75)*100</f>
        <v>3.5312499999999997E-3</v>
      </c>
      <c r="F315" s="304">
        <f>(11100/$B$75)*100</f>
        <v>3.4687500000000005E-3</v>
      </c>
      <c r="G315" s="73">
        <f>(30000/$B$75)*100</f>
        <v>9.3749999999999997E-3</v>
      </c>
    </row>
    <row r="316" spans="1:7">
      <c r="A316" s="150" t="s">
        <v>1234</v>
      </c>
      <c r="B316" s="73">
        <f>(27900000/$B$75)*100</f>
        <v>8.71875</v>
      </c>
      <c r="C316" s="73">
        <f>(10300000/$B$75)*100</f>
        <v>3.21875</v>
      </c>
      <c r="D316" s="73">
        <f>(21800000/$B$75)*100</f>
        <v>6.8125000000000009</v>
      </c>
      <c r="E316" s="73">
        <f>(12300000/$B$75)*100</f>
        <v>3.84375</v>
      </c>
      <c r="F316" s="304">
        <f>(8630000/$B$75)*100</f>
        <v>2.6968749999999999</v>
      </c>
      <c r="G316" s="73">
        <f>(25800000/$B$75)*100</f>
        <v>8.0625</v>
      </c>
    </row>
    <row r="317" spans="1:7" ht="25.5">
      <c r="A317" s="150" t="s">
        <v>1124</v>
      </c>
      <c r="B317" s="73">
        <f>(3580000/$B$75)*100</f>
        <v>1.1187499999999999</v>
      </c>
      <c r="C317" s="73">
        <f>(2640000/$B$75)*100</f>
        <v>0.82500000000000007</v>
      </c>
      <c r="D317" s="73">
        <f>(4230000/$B$75)*100</f>
        <v>1.3218749999999999</v>
      </c>
      <c r="E317" s="73">
        <f>(1950000/$B$75)*100</f>
        <v>0.609375</v>
      </c>
      <c r="F317" s="304">
        <f>(1920000/$B$75)*100</f>
        <v>0.6</v>
      </c>
      <c r="G317" s="73">
        <f>(5080000/$B$75)*100</f>
        <v>1.5874999999999999</v>
      </c>
    </row>
    <row r="318" spans="1:7">
      <c r="A318" s="150" t="s">
        <v>1125</v>
      </c>
      <c r="B318" s="73">
        <f>(3040000/$B$75)*100</f>
        <v>0.95</v>
      </c>
      <c r="C318" s="73">
        <f>(2260000/$B$75)*100</f>
        <v>0.70625000000000004</v>
      </c>
      <c r="D318" s="73">
        <f>(3370000/$B$75)*100</f>
        <v>1.0531250000000001</v>
      </c>
      <c r="E318" s="73">
        <f>(1880000/$B$75)*100</f>
        <v>0.58750000000000002</v>
      </c>
      <c r="F318" s="304">
        <f>(1800000/$B$75)*100</f>
        <v>0.5625</v>
      </c>
      <c r="G318" s="73">
        <f>(3410000/$B$75)*100</f>
        <v>1.065625</v>
      </c>
    </row>
    <row r="319" spans="1:7">
      <c r="A319" s="150" t="s">
        <v>1237</v>
      </c>
      <c r="B319" s="73">
        <f>(37000000/$B$75)*100</f>
        <v>11.5625</v>
      </c>
      <c r="C319" s="73">
        <f>(9990000/$B$75)*100</f>
        <v>3.1218750000000002</v>
      </c>
      <c r="D319" s="73">
        <f>(29600000/$B$75)*100</f>
        <v>9.25</v>
      </c>
      <c r="E319" s="73">
        <f>(16500000/$B$75)*100</f>
        <v>5.15625</v>
      </c>
      <c r="F319" s="304">
        <f>(11800000/$B$75)*100</f>
        <v>3.6875</v>
      </c>
      <c r="G319" s="73">
        <f>(35200000/$B$75)*100</f>
        <v>11</v>
      </c>
    </row>
    <row r="320" spans="1:7">
      <c r="A320" s="150" t="s">
        <v>1238</v>
      </c>
      <c r="B320" s="73">
        <f>(79700000/$B$75)*100</f>
        <v>24.90625</v>
      </c>
      <c r="C320" s="73">
        <f>(58100000/$B$75)*100</f>
        <v>18.15625</v>
      </c>
      <c r="D320" s="73">
        <f>(94100000/$B$75)*100</f>
        <v>29.40625</v>
      </c>
      <c r="E320" s="73">
        <f>(43600000/$B$75)*100</f>
        <v>13.625000000000002</v>
      </c>
      <c r="F320" s="304">
        <f>(42200000/$B$75)*100</f>
        <v>13.1875</v>
      </c>
      <c r="G320" s="73">
        <f>(113000000/$B$75)*100</f>
        <v>35.3125</v>
      </c>
    </row>
    <row r="321" spans="1:16">
      <c r="A321" s="142" t="s">
        <v>646</v>
      </c>
      <c r="B321" s="73">
        <f t="shared" ref="B321:G321" si="2">SUM(B310:B320)</f>
        <v>99.886968749999994</v>
      </c>
      <c r="C321" s="73">
        <f t="shared" si="2"/>
        <v>59.642624999999995</v>
      </c>
      <c r="D321" s="73">
        <f t="shared" si="2"/>
        <v>105.4524375</v>
      </c>
      <c r="E321" s="73">
        <f t="shared" si="2"/>
        <v>51.500531250000002</v>
      </c>
      <c r="F321" s="304">
        <f t="shared" si="2"/>
        <v>46.36659375</v>
      </c>
      <c r="G321" s="73">
        <f t="shared" si="2"/>
        <v>126.404375</v>
      </c>
    </row>
    <row r="322" spans="1:16">
      <c r="A322" s="150" t="s">
        <v>52</v>
      </c>
      <c r="B322" s="275">
        <v>320000000</v>
      </c>
      <c r="C322" s="275">
        <v>191000000</v>
      </c>
      <c r="D322" s="307">
        <v>337000000</v>
      </c>
      <c r="E322" s="307">
        <v>165000000</v>
      </c>
      <c r="F322" s="308">
        <v>148000000</v>
      </c>
      <c r="G322" s="275">
        <v>404000000</v>
      </c>
    </row>
    <row r="324" spans="1:16" ht="15">
      <c r="A324" s="55" t="s">
        <v>628</v>
      </c>
      <c r="G324" s="55" t="s">
        <v>632</v>
      </c>
    </row>
    <row r="325" spans="1:16" ht="71.25">
      <c r="A325" s="152" t="s">
        <v>482</v>
      </c>
      <c r="B325" s="47" t="s">
        <v>496</v>
      </c>
      <c r="C325" s="47" t="s">
        <v>483</v>
      </c>
      <c r="D325" s="47" t="s">
        <v>497</v>
      </c>
      <c r="E325" s="47" t="s">
        <v>381</v>
      </c>
      <c r="F325" s="47" t="s">
        <v>382</v>
      </c>
      <c r="G325" s="47" t="s">
        <v>390</v>
      </c>
      <c r="H325" s="47"/>
      <c r="I325" s="152" t="s">
        <v>482</v>
      </c>
      <c r="J325" s="47" t="s">
        <v>496</v>
      </c>
      <c r="K325" s="47" t="s">
        <v>483</v>
      </c>
      <c r="L325" s="47" t="s">
        <v>289</v>
      </c>
      <c r="M325" s="47" t="s">
        <v>288</v>
      </c>
      <c r="N325" s="47" t="s">
        <v>381</v>
      </c>
      <c r="O325" s="47" t="s">
        <v>382</v>
      </c>
      <c r="P325" s="47" t="s">
        <v>390</v>
      </c>
    </row>
    <row r="326" spans="1:16">
      <c r="A326" s="47" t="s">
        <v>391</v>
      </c>
      <c r="B326" s="47">
        <v>44</v>
      </c>
      <c r="C326" s="47">
        <v>162</v>
      </c>
      <c r="D326" s="47">
        <v>406</v>
      </c>
      <c r="E326" s="47">
        <v>0</v>
      </c>
      <c r="F326" s="47">
        <v>5</v>
      </c>
      <c r="G326" s="47">
        <f>SUM(B326:F326)</f>
        <v>617</v>
      </c>
      <c r="H326" s="47"/>
      <c r="I326" s="47" t="s">
        <v>391</v>
      </c>
      <c r="J326" s="47">
        <v>45</v>
      </c>
      <c r="K326" s="47">
        <v>162</v>
      </c>
      <c r="L326">
        <v>34</v>
      </c>
      <c r="M326" s="47">
        <v>335</v>
      </c>
      <c r="N326" s="47">
        <v>0</v>
      </c>
      <c r="O326" s="47">
        <v>5</v>
      </c>
      <c r="P326" s="47">
        <f t="shared" ref="P326:P333" si="3">SUM(J326:O326)</f>
        <v>581</v>
      </c>
    </row>
    <row r="327" spans="1:16">
      <c r="A327" s="47" t="s">
        <v>1080</v>
      </c>
      <c r="B327" s="47">
        <v>44</v>
      </c>
      <c r="C327" s="47">
        <v>60</v>
      </c>
      <c r="D327" s="47">
        <v>195</v>
      </c>
      <c r="E327" s="47">
        <v>0</v>
      </c>
      <c r="F327" s="47">
        <v>5</v>
      </c>
      <c r="G327" s="47">
        <f>SUM(B327:F327)</f>
        <v>304</v>
      </c>
      <c r="H327" s="47"/>
      <c r="I327" s="47" t="s">
        <v>1080</v>
      </c>
      <c r="J327" s="47">
        <v>45</v>
      </c>
      <c r="K327" s="47">
        <v>60</v>
      </c>
      <c r="L327">
        <v>26</v>
      </c>
      <c r="M327" s="47">
        <v>161</v>
      </c>
      <c r="N327" s="47">
        <v>0</v>
      </c>
      <c r="O327" s="47">
        <v>5</v>
      </c>
      <c r="P327" s="47">
        <f t="shared" si="3"/>
        <v>297</v>
      </c>
    </row>
    <row r="328" spans="1:16">
      <c r="A328" s="47" t="s">
        <v>392</v>
      </c>
      <c r="B328" s="47">
        <v>44</v>
      </c>
      <c r="C328" s="47">
        <v>125</v>
      </c>
      <c r="D328" s="47">
        <v>403</v>
      </c>
      <c r="E328" s="47">
        <v>0</v>
      </c>
      <c r="F328" s="47">
        <v>5</v>
      </c>
      <c r="G328" s="47">
        <f t="shared" ref="G328:G333" si="4">SUM(B328:F328)</f>
        <v>577</v>
      </c>
      <c r="H328" s="47"/>
      <c r="I328" s="47" t="s">
        <v>392</v>
      </c>
      <c r="J328" s="47">
        <v>45</v>
      </c>
      <c r="K328" s="47">
        <v>125</v>
      </c>
      <c r="L328">
        <v>42</v>
      </c>
      <c r="M328" s="47">
        <v>333</v>
      </c>
      <c r="N328" s="47">
        <v>0</v>
      </c>
      <c r="O328" s="47">
        <v>5</v>
      </c>
      <c r="P328" s="47">
        <f t="shared" si="3"/>
        <v>550</v>
      </c>
    </row>
    <row r="329" spans="1:16" ht="28.5">
      <c r="A329" s="47" t="s">
        <v>393</v>
      </c>
      <c r="B329" s="47">
        <v>44</v>
      </c>
      <c r="C329" s="47">
        <v>237</v>
      </c>
      <c r="D329" s="47">
        <v>180</v>
      </c>
      <c r="E329" s="47">
        <v>0</v>
      </c>
      <c r="F329" s="47">
        <v>5</v>
      </c>
      <c r="G329" s="47">
        <f t="shared" si="4"/>
        <v>466</v>
      </c>
      <c r="H329" s="47"/>
      <c r="I329" s="47" t="s">
        <v>393</v>
      </c>
      <c r="J329" s="47">
        <v>45</v>
      </c>
      <c r="K329" s="47">
        <v>237</v>
      </c>
      <c r="L329">
        <v>19</v>
      </c>
      <c r="M329" s="47">
        <v>149</v>
      </c>
      <c r="N329" s="47">
        <v>0</v>
      </c>
      <c r="O329" s="47">
        <v>5</v>
      </c>
      <c r="P329" s="47">
        <f t="shared" si="3"/>
        <v>455</v>
      </c>
    </row>
    <row r="330" spans="1:16">
      <c r="A330" s="47" t="s">
        <v>990</v>
      </c>
      <c r="B330" s="47">
        <v>44</v>
      </c>
      <c r="C330" s="47">
        <v>258</v>
      </c>
      <c r="D330" s="47">
        <v>438</v>
      </c>
      <c r="E330" s="47">
        <v>0</v>
      </c>
      <c r="F330" s="47">
        <v>5</v>
      </c>
      <c r="G330" s="47">
        <f t="shared" si="4"/>
        <v>745</v>
      </c>
      <c r="H330" s="47"/>
      <c r="I330" s="47" t="s">
        <v>990</v>
      </c>
      <c r="J330" s="47">
        <v>45</v>
      </c>
      <c r="K330" s="47">
        <v>258</v>
      </c>
      <c r="L330">
        <v>19</v>
      </c>
      <c r="M330" s="47">
        <v>362</v>
      </c>
      <c r="N330" s="47">
        <v>0</v>
      </c>
      <c r="O330" s="47">
        <v>5</v>
      </c>
      <c r="P330" s="47">
        <f t="shared" si="3"/>
        <v>689</v>
      </c>
    </row>
    <row r="331" spans="1:16" ht="28.5">
      <c r="A331" s="47" t="s">
        <v>394</v>
      </c>
      <c r="B331" s="47">
        <v>36</v>
      </c>
      <c r="C331" s="47">
        <v>146</v>
      </c>
      <c r="D331" s="47">
        <v>482</v>
      </c>
      <c r="E331" s="47">
        <v>0</v>
      </c>
      <c r="F331" s="47">
        <v>0</v>
      </c>
      <c r="G331" s="47">
        <f t="shared" si="4"/>
        <v>664</v>
      </c>
      <c r="H331" s="47"/>
      <c r="I331" s="47" t="s">
        <v>394</v>
      </c>
      <c r="J331" s="47">
        <v>37</v>
      </c>
      <c r="K331" s="47">
        <v>146</v>
      </c>
      <c r="L331">
        <v>51</v>
      </c>
      <c r="M331" s="47">
        <v>398</v>
      </c>
      <c r="N331" s="47">
        <v>0</v>
      </c>
      <c r="O331" s="47">
        <v>0</v>
      </c>
      <c r="P331" s="47">
        <f t="shared" si="3"/>
        <v>632</v>
      </c>
    </row>
    <row r="332" spans="1:16" ht="28.5">
      <c r="A332" s="47" t="s">
        <v>487</v>
      </c>
      <c r="B332" s="47">
        <v>36</v>
      </c>
      <c r="C332" s="47">
        <v>146</v>
      </c>
      <c r="D332" s="47">
        <v>0</v>
      </c>
      <c r="E332" s="47">
        <v>611</v>
      </c>
      <c r="F332" s="47">
        <v>0</v>
      </c>
      <c r="G332" s="47">
        <f t="shared" si="4"/>
        <v>793</v>
      </c>
      <c r="H332" s="47"/>
      <c r="I332" s="47" t="s">
        <v>487</v>
      </c>
      <c r="J332" s="47">
        <v>37</v>
      </c>
      <c r="K332" s="47">
        <v>146</v>
      </c>
      <c r="L332">
        <v>51</v>
      </c>
      <c r="M332" s="47">
        <v>0</v>
      </c>
      <c r="N332" s="47">
        <v>611</v>
      </c>
      <c r="O332" s="47">
        <v>0</v>
      </c>
      <c r="P332" s="47">
        <f t="shared" si="3"/>
        <v>845</v>
      </c>
    </row>
    <row r="333" spans="1:16" ht="42.75">
      <c r="A333" s="47" t="s">
        <v>488</v>
      </c>
      <c r="B333" s="47">
        <v>36</v>
      </c>
      <c r="C333" s="47">
        <v>102</v>
      </c>
      <c r="D333" s="47">
        <v>0</v>
      </c>
      <c r="E333" s="47">
        <v>611</v>
      </c>
      <c r="F333" s="47">
        <v>0</v>
      </c>
      <c r="G333" s="47">
        <f t="shared" si="4"/>
        <v>749</v>
      </c>
      <c r="H333" s="47"/>
      <c r="I333" s="47" t="s">
        <v>488</v>
      </c>
      <c r="J333" s="47">
        <v>37</v>
      </c>
      <c r="K333" s="47">
        <v>102</v>
      </c>
      <c r="L333">
        <v>51</v>
      </c>
      <c r="M333" s="47">
        <v>0</v>
      </c>
      <c r="N333" s="47">
        <v>611</v>
      </c>
      <c r="O333" s="47">
        <v>0</v>
      </c>
      <c r="P333" s="47">
        <f t="shared" si="3"/>
        <v>801</v>
      </c>
    </row>
    <row r="334" spans="1:16">
      <c r="A334" s="47"/>
      <c r="B334" s="47"/>
      <c r="C334" s="47"/>
      <c r="D334" s="47"/>
      <c r="E334" s="47"/>
      <c r="F334" s="47"/>
      <c r="G334" s="47"/>
      <c r="H334" s="47"/>
    </row>
    <row r="335" spans="1:16" ht="71.25">
      <c r="A335" s="152" t="s">
        <v>482</v>
      </c>
      <c r="B335" s="47" t="s">
        <v>498</v>
      </c>
      <c r="C335" s="47" t="s">
        <v>499</v>
      </c>
      <c r="D335" s="47" t="s">
        <v>500</v>
      </c>
      <c r="E335" s="47" t="s">
        <v>501</v>
      </c>
      <c r="F335" s="47" t="s">
        <v>626</v>
      </c>
      <c r="G335" s="47" t="s">
        <v>627</v>
      </c>
      <c r="H335" s="47"/>
      <c r="I335" s="152" t="s">
        <v>482</v>
      </c>
      <c r="J335" s="47" t="s">
        <v>498</v>
      </c>
      <c r="K335" s="47" t="s">
        <v>499</v>
      </c>
      <c r="L335" s="47" t="s">
        <v>289</v>
      </c>
      <c r="M335" s="47" t="s">
        <v>290</v>
      </c>
      <c r="N335" s="47" t="s">
        <v>501</v>
      </c>
      <c r="O335" s="47" t="s">
        <v>626</v>
      </c>
      <c r="P335" s="47" t="s">
        <v>627</v>
      </c>
    </row>
    <row r="336" spans="1:16">
      <c r="A336" s="47" t="s">
        <v>391</v>
      </c>
      <c r="B336" s="47">
        <v>61</v>
      </c>
      <c r="C336" s="47">
        <v>300</v>
      </c>
      <c r="D336" s="47">
        <v>406</v>
      </c>
      <c r="E336" s="47">
        <v>0</v>
      </c>
      <c r="F336" s="47">
        <v>16</v>
      </c>
      <c r="G336" s="47">
        <f>SUM(B336:F336)</f>
        <v>783</v>
      </c>
      <c r="H336" s="47"/>
      <c r="I336" s="47" t="s">
        <v>391</v>
      </c>
      <c r="J336" s="47">
        <v>61</v>
      </c>
      <c r="K336" s="47">
        <v>300</v>
      </c>
      <c r="L336">
        <v>34</v>
      </c>
      <c r="M336" s="47">
        <v>335</v>
      </c>
      <c r="N336" s="47">
        <v>0</v>
      </c>
      <c r="O336" s="47">
        <v>16</v>
      </c>
      <c r="P336" s="47">
        <f t="shared" ref="P336:P343" si="5">SUM(J336:O336)</f>
        <v>746</v>
      </c>
    </row>
    <row r="337" spans="1:16">
      <c r="A337" s="47" t="s">
        <v>1080</v>
      </c>
      <c r="B337" s="47">
        <v>61</v>
      </c>
      <c r="C337" s="47">
        <v>63</v>
      </c>
      <c r="D337" s="47">
        <v>253</v>
      </c>
      <c r="E337" s="47">
        <v>0</v>
      </c>
      <c r="F337" s="47">
        <v>16</v>
      </c>
      <c r="G337" s="47">
        <f>SUM(B337:F337)</f>
        <v>393</v>
      </c>
      <c r="H337" s="47"/>
      <c r="I337" s="47" t="s">
        <v>1080</v>
      </c>
      <c r="J337" s="47">
        <v>61</v>
      </c>
      <c r="K337" s="47">
        <v>63</v>
      </c>
      <c r="L337">
        <v>26</v>
      </c>
      <c r="M337" s="47">
        <v>209</v>
      </c>
      <c r="N337" s="47">
        <v>0</v>
      </c>
      <c r="O337" s="47">
        <v>16</v>
      </c>
      <c r="P337" s="47">
        <f t="shared" si="5"/>
        <v>375</v>
      </c>
    </row>
    <row r="338" spans="1:16">
      <c r="A338" s="47" t="s">
        <v>392</v>
      </c>
      <c r="B338" s="47">
        <v>61</v>
      </c>
      <c r="C338" s="47">
        <v>250</v>
      </c>
      <c r="D338" s="47">
        <v>407</v>
      </c>
      <c r="E338" s="47">
        <v>0</v>
      </c>
      <c r="F338" s="47">
        <v>16</v>
      </c>
      <c r="G338" s="47">
        <f t="shared" ref="G338:G343" si="6">SUM(B338:F338)</f>
        <v>734</v>
      </c>
      <c r="H338" s="47"/>
      <c r="I338" s="47" t="s">
        <v>392</v>
      </c>
      <c r="J338" s="47">
        <v>61</v>
      </c>
      <c r="K338" s="47">
        <v>250</v>
      </c>
      <c r="L338">
        <v>42</v>
      </c>
      <c r="M338" s="47">
        <v>366</v>
      </c>
      <c r="N338" s="47">
        <v>0</v>
      </c>
      <c r="O338" s="47">
        <v>16</v>
      </c>
      <c r="P338" s="47">
        <f t="shared" si="5"/>
        <v>735</v>
      </c>
    </row>
    <row r="339" spans="1:16" ht="28.5">
      <c r="A339" s="47" t="s">
        <v>393</v>
      </c>
      <c r="B339" s="47">
        <v>61</v>
      </c>
      <c r="C339" s="47">
        <v>343</v>
      </c>
      <c r="D339" s="47">
        <v>183</v>
      </c>
      <c r="E339" s="47">
        <v>0</v>
      </c>
      <c r="F339" s="47">
        <v>16</v>
      </c>
      <c r="G339" s="47">
        <f t="shared" si="6"/>
        <v>603</v>
      </c>
      <c r="H339" s="47"/>
      <c r="I339" s="47" t="s">
        <v>393</v>
      </c>
      <c r="J339" s="47">
        <v>61</v>
      </c>
      <c r="K339" s="47">
        <v>343</v>
      </c>
      <c r="L339">
        <v>19</v>
      </c>
      <c r="M339" s="47">
        <v>151</v>
      </c>
      <c r="N339" s="47">
        <v>0</v>
      </c>
      <c r="O339" s="47">
        <v>16</v>
      </c>
      <c r="P339" s="47">
        <f t="shared" si="5"/>
        <v>590</v>
      </c>
    </row>
    <row r="340" spans="1:16">
      <c r="A340" s="47" t="s">
        <v>990</v>
      </c>
      <c r="B340" s="47">
        <v>61</v>
      </c>
      <c r="C340" s="47">
        <v>711</v>
      </c>
      <c r="D340" s="47">
        <v>438</v>
      </c>
      <c r="E340" s="47">
        <v>0</v>
      </c>
      <c r="F340" s="47">
        <v>16</v>
      </c>
      <c r="G340" s="47">
        <f t="shared" si="6"/>
        <v>1226</v>
      </c>
      <c r="H340" s="47"/>
      <c r="I340" s="47" t="s">
        <v>990</v>
      </c>
      <c r="J340" s="47">
        <v>61</v>
      </c>
      <c r="K340" s="47">
        <v>711</v>
      </c>
      <c r="L340">
        <v>19</v>
      </c>
      <c r="M340" s="47">
        <v>362</v>
      </c>
      <c r="N340" s="47">
        <v>0</v>
      </c>
      <c r="O340" s="47">
        <v>16</v>
      </c>
      <c r="P340" s="47">
        <f t="shared" si="5"/>
        <v>1169</v>
      </c>
    </row>
    <row r="341" spans="1:16" ht="28.5">
      <c r="A341" s="47" t="s">
        <v>394</v>
      </c>
      <c r="B341" s="47">
        <v>51</v>
      </c>
      <c r="C341" s="47">
        <v>319</v>
      </c>
      <c r="D341" s="47">
        <v>495</v>
      </c>
      <c r="E341" s="47">
        <v>0</v>
      </c>
      <c r="F341" s="47">
        <v>0</v>
      </c>
      <c r="G341" s="47">
        <f t="shared" si="6"/>
        <v>865</v>
      </c>
      <c r="H341" s="47"/>
      <c r="I341" s="47" t="s">
        <v>394</v>
      </c>
      <c r="J341" s="47">
        <v>51</v>
      </c>
      <c r="K341" s="47">
        <v>287</v>
      </c>
      <c r="L341">
        <v>51</v>
      </c>
      <c r="M341" s="47">
        <v>409</v>
      </c>
      <c r="N341" s="47">
        <v>0</v>
      </c>
      <c r="O341" s="47">
        <v>0</v>
      </c>
      <c r="P341" s="47">
        <f t="shared" si="5"/>
        <v>798</v>
      </c>
    </row>
    <row r="342" spans="1:16" ht="28.5">
      <c r="A342" s="47" t="s">
        <v>487</v>
      </c>
      <c r="B342" s="47">
        <v>51</v>
      </c>
      <c r="C342" s="47">
        <v>319</v>
      </c>
      <c r="D342" s="47">
        <v>0</v>
      </c>
      <c r="E342" s="47">
        <v>611</v>
      </c>
      <c r="F342" s="47">
        <v>0</v>
      </c>
      <c r="G342" s="47">
        <f t="shared" si="6"/>
        <v>981</v>
      </c>
      <c r="H342" s="47"/>
      <c r="I342" s="47" t="s">
        <v>487</v>
      </c>
      <c r="J342" s="47">
        <v>51</v>
      </c>
      <c r="K342" s="47">
        <v>287</v>
      </c>
      <c r="L342">
        <v>51</v>
      </c>
      <c r="M342" s="47">
        <v>0</v>
      </c>
      <c r="N342" s="47">
        <v>611</v>
      </c>
      <c r="O342" s="47">
        <v>0</v>
      </c>
      <c r="P342" s="47">
        <f t="shared" si="5"/>
        <v>1000</v>
      </c>
    </row>
    <row r="343" spans="1:16" ht="42.75">
      <c r="A343" s="47" t="s">
        <v>488</v>
      </c>
      <c r="B343" s="47">
        <v>51</v>
      </c>
      <c r="C343" s="47">
        <v>102</v>
      </c>
      <c r="D343" s="47">
        <v>0</v>
      </c>
      <c r="E343" s="47">
        <v>611</v>
      </c>
      <c r="F343" s="47">
        <v>0</v>
      </c>
      <c r="G343" s="47">
        <f t="shared" si="6"/>
        <v>764</v>
      </c>
      <c r="H343" s="47"/>
      <c r="I343" s="47" t="s">
        <v>488</v>
      </c>
      <c r="J343" s="47">
        <v>51</v>
      </c>
      <c r="K343" s="47">
        <v>102</v>
      </c>
      <c r="L343">
        <v>51</v>
      </c>
      <c r="M343" s="47">
        <v>0</v>
      </c>
      <c r="N343" s="47">
        <v>611</v>
      </c>
      <c r="O343" s="47">
        <v>0</v>
      </c>
      <c r="P343" s="47">
        <f t="shared" si="5"/>
        <v>815</v>
      </c>
    </row>
    <row r="344" spans="1:16">
      <c r="A344" s="47"/>
      <c r="B344" s="47"/>
      <c r="C344" s="47"/>
      <c r="D344" s="47"/>
      <c r="E344" s="47"/>
      <c r="F344" s="47"/>
      <c r="G344" s="47"/>
      <c r="H344" s="47"/>
    </row>
    <row r="345" spans="1:16" ht="71.25">
      <c r="A345" s="152" t="s">
        <v>482</v>
      </c>
      <c r="B345" s="47" t="s">
        <v>489</v>
      </c>
      <c r="C345" s="47" t="s">
        <v>490</v>
      </c>
      <c r="D345" s="47" t="s">
        <v>491</v>
      </c>
      <c r="E345" s="47" t="s">
        <v>492</v>
      </c>
      <c r="F345" s="47" t="s">
        <v>493</v>
      </c>
      <c r="G345" s="47" t="s">
        <v>494</v>
      </c>
      <c r="H345" s="47"/>
      <c r="I345" s="152" t="s">
        <v>482</v>
      </c>
      <c r="J345" s="47" t="s">
        <v>489</v>
      </c>
      <c r="K345" s="47" t="s">
        <v>490</v>
      </c>
      <c r="L345" s="47" t="s">
        <v>291</v>
      </c>
      <c r="M345" s="47" t="s">
        <v>292</v>
      </c>
      <c r="N345" s="47" t="s">
        <v>492</v>
      </c>
      <c r="O345" s="47" t="s">
        <v>493</v>
      </c>
      <c r="P345" s="47" t="s">
        <v>494</v>
      </c>
    </row>
    <row r="346" spans="1:16">
      <c r="A346" s="47" t="s">
        <v>391</v>
      </c>
      <c r="B346" s="47">
        <f>(B336+B326)/2</f>
        <v>52.5</v>
      </c>
      <c r="C346" s="47">
        <f>(C336+C326)/2</f>
        <v>231</v>
      </c>
      <c r="D346" s="47">
        <f>(D336+D326)/2</f>
        <v>406</v>
      </c>
      <c r="E346" s="47">
        <f>(E336+E326)/2</f>
        <v>0</v>
      </c>
      <c r="F346" s="47">
        <f>(F336+F326)/2</f>
        <v>10.5</v>
      </c>
      <c r="G346" s="47">
        <f>SUM(B346:F346)</f>
        <v>700</v>
      </c>
      <c r="H346" s="47"/>
      <c r="I346" s="47" t="s">
        <v>391</v>
      </c>
      <c r="J346" s="47">
        <f t="shared" ref="J346:O346" si="7">(J336+J326)/2</f>
        <v>53</v>
      </c>
      <c r="K346" s="47">
        <f t="shared" si="7"/>
        <v>231</v>
      </c>
      <c r="L346" s="47">
        <f t="shared" si="7"/>
        <v>34</v>
      </c>
      <c r="M346" s="47">
        <f t="shared" si="7"/>
        <v>335</v>
      </c>
      <c r="N346" s="47">
        <f t="shared" si="7"/>
        <v>0</v>
      </c>
      <c r="O346" s="47">
        <f t="shared" si="7"/>
        <v>10.5</v>
      </c>
      <c r="P346" s="47">
        <f t="shared" ref="P346:P353" si="8">SUM(J346:O346)</f>
        <v>663.5</v>
      </c>
    </row>
    <row r="347" spans="1:16">
      <c r="A347" s="47" t="s">
        <v>1080</v>
      </c>
      <c r="B347" s="47">
        <f t="shared" ref="B347:F353" si="9">(B337+B327)/2</f>
        <v>52.5</v>
      </c>
      <c r="C347" s="47">
        <f t="shared" si="9"/>
        <v>61.5</v>
      </c>
      <c r="D347" s="47">
        <f t="shared" si="9"/>
        <v>224</v>
      </c>
      <c r="E347" s="47">
        <f t="shared" si="9"/>
        <v>0</v>
      </c>
      <c r="F347" s="47">
        <f t="shared" si="9"/>
        <v>10.5</v>
      </c>
      <c r="G347" s="47">
        <f>SUM(B347:F347)</f>
        <v>348.5</v>
      </c>
      <c r="H347" s="47"/>
      <c r="I347" s="47" t="s">
        <v>1080</v>
      </c>
      <c r="J347" s="47">
        <f t="shared" ref="J347:O353" si="10">(J337+J327)/2</f>
        <v>53</v>
      </c>
      <c r="K347" s="47">
        <f t="shared" si="10"/>
        <v>61.5</v>
      </c>
      <c r="L347" s="47">
        <f t="shared" si="10"/>
        <v>26</v>
      </c>
      <c r="M347" s="47">
        <f t="shared" si="10"/>
        <v>185</v>
      </c>
      <c r="N347" s="47">
        <f t="shared" si="10"/>
        <v>0</v>
      </c>
      <c r="O347" s="47">
        <f t="shared" si="10"/>
        <v>10.5</v>
      </c>
      <c r="P347" s="47">
        <f t="shared" si="8"/>
        <v>336</v>
      </c>
    </row>
    <row r="348" spans="1:16">
      <c r="A348" s="47" t="s">
        <v>392</v>
      </c>
      <c r="B348" s="47">
        <f t="shared" si="9"/>
        <v>52.5</v>
      </c>
      <c r="C348" s="47">
        <f t="shared" si="9"/>
        <v>187.5</v>
      </c>
      <c r="D348" s="47">
        <f t="shared" si="9"/>
        <v>405</v>
      </c>
      <c r="E348" s="47">
        <f t="shared" si="9"/>
        <v>0</v>
      </c>
      <c r="F348" s="47">
        <f t="shared" si="9"/>
        <v>10.5</v>
      </c>
      <c r="G348" s="47">
        <f t="shared" ref="G348:G353" si="11">SUM(B348:F348)</f>
        <v>655.5</v>
      </c>
      <c r="H348" s="47"/>
      <c r="I348" s="47" t="s">
        <v>392</v>
      </c>
      <c r="J348" s="47">
        <f t="shared" si="10"/>
        <v>53</v>
      </c>
      <c r="K348" s="47">
        <f t="shared" si="10"/>
        <v>187.5</v>
      </c>
      <c r="L348" s="47">
        <f t="shared" si="10"/>
        <v>42</v>
      </c>
      <c r="M348" s="47">
        <f t="shared" si="10"/>
        <v>349.5</v>
      </c>
      <c r="N348" s="47">
        <f t="shared" si="10"/>
        <v>0</v>
      </c>
      <c r="O348" s="47">
        <f t="shared" si="10"/>
        <v>10.5</v>
      </c>
      <c r="P348" s="47">
        <f t="shared" si="8"/>
        <v>642.5</v>
      </c>
    </row>
    <row r="349" spans="1:16" ht="28.5">
      <c r="A349" s="47" t="s">
        <v>393</v>
      </c>
      <c r="B349" s="47">
        <f t="shared" si="9"/>
        <v>52.5</v>
      </c>
      <c r="C349" s="47">
        <f t="shared" si="9"/>
        <v>290</v>
      </c>
      <c r="D349" s="47">
        <f t="shared" si="9"/>
        <v>181.5</v>
      </c>
      <c r="E349" s="47">
        <f t="shared" si="9"/>
        <v>0</v>
      </c>
      <c r="F349" s="47">
        <f t="shared" si="9"/>
        <v>10.5</v>
      </c>
      <c r="G349" s="47">
        <f t="shared" si="11"/>
        <v>534.5</v>
      </c>
      <c r="H349" s="47"/>
      <c r="I349" s="47" t="s">
        <v>393</v>
      </c>
      <c r="J349" s="47">
        <f t="shared" si="10"/>
        <v>53</v>
      </c>
      <c r="K349" s="47">
        <f t="shared" si="10"/>
        <v>290</v>
      </c>
      <c r="L349" s="47">
        <f t="shared" si="10"/>
        <v>19</v>
      </c>
      <c r="M349" s="47">
        <f t="shared" si="10"/>
        <v>150</v>
      </c>
      <c r="N349" s="47">
        <f t="shared" si="10"/>
        <v>0</v>
      </c>
      <c r="O349" s="47">
        <f t="shared" si="10"/>
        <v>10.5</v>
      </c>
      <c r="P349" s="47">
        <f t="shared" si="8"/>
        <v>522.5</v>
      </c>
    </row>
    <row r="350" spans="1:16">
      <c r="A350" s="47" t="s">
        <v>990</v>
      </c>
      <c r="B350" s="47">
        <f t="shared" si="9"/>
        <v>52.5</v>
      </c>
      <c r="C350" s="47">
        <f t="shared" si="9"/>
        <v>484.5</v>
      </c>
      <c r="D350" s="47">
        <f t="shared" si="9"/>
        <v>438</v>
      </c>
      <c r="E350" s="47">
        <f t="shared" si="9"/>
        <v>0</v>
      </c>
      <c r="F350" s="47">
        <f t="shared" si="9"/>
        <v>10.5</v>
      </c>
      <c r="G350" s="47">
        <f t="shared" si="11"/>
        <v>985.5</v>
      </c>
      <c r="H350" s="47"/>
      <c r="I350" s="47" t="s">
        <v>990</v>
      </c>
      <c r="J350" s="47">
        <f t="shared" si="10"/>
        <v>53</v>
      </c>
      <c r="K350" s="47">
        <f t="shared" si="10"/>
        <v>484.5</v>
      </c>
      <c r="L350" s="47">
        <f t="shared" si="10"/>
        <v>19</v>
      </c>
      <c r="M350" s="47">
        <f t="shared" si="10"/>
        <v>362</v>
      </c>
      <c r="N350" s="47">
        <f t="shared" si="10"/>
        <v>0</v>
      </c>
      <c r="O350" s="47">
        <f t="shared" si="10"/>
        <v>10.5</v>
      </c>
      <c r="P350" s="47">
        <f t="shared" si="8"/>
        <v>929</v>
      </c>
    </row>
    <row r="351" spans="1:16" ht="28.5">
      <c r="A351" s="47" t="s">
        <v>394</v>
      </c>
      <c r="B351" s="47">
        <f t="shared" si="9"/>
        <v>43.5</v>
      </c>
      <c r="C351" s="47">
        <f t="shared" si="9"/>
        <v>232.5</v>
      </c>
      <c r="D351" s="47">
        <f t="shared" si="9"/>
        <v>488.5</v>
      </c>
      <c r="E351" s="47">
        <f t="shared" si="9"/>
        <v>0</v>
      </c>
      <c r="F351" s="47">
        <f t="shared" si="9"/>
        <v>0</v>
      </c>
      <c r="G351" s="47">
        <f t="shared" si="11"/>
        <v>764.5</v>
      </c>
      <c r="H351" s="47"/>
      <c r="I351" s="47" t="s">
        <v>394</v>
      </c>
      <c r="J351" s="47">
        <f t="shared" si="10"/>
        <v>44</v>
      </c>
      <c r="K351" s="47">
        <f t="shared" si="10"/>
        <v>216.5</v>
      </c>
      <c r="L351" s="47">
        <f t="shared" si="10"/>
        <v>51</v>
      </c>
      <c r="M351" s="47">
        <f t="shared" si="10"/>
        <v>403.5</v>
      </c>
      <c r="N351" s="47">
        <f t="shared" si="10"/>
        <v>0</v>
      </c>
      <c r="O351" s="47">
        <f t="shared" si="10"/>
        <v>0</v>
      </c>
      <c r="P351" s="47">
        <f t="shared" si="8"/>
        <v>715</v>
      </c>
    </row>
    <row r="352" spans="1:16" ht="28.5">
      <c r="A352" s="47" t="s">
        <v>487</v>
      </c>
      <c r="B352" s="47">
        <f t="shared" si="9"/>
        <v>43.5</v>
      </c>
      <c r="C352" s="47">
        <f t="shared" si="9"/>
        <v>232.5</v>
      </c>
      <c r="D352" s="47">
        <f t="shared" si="9"/>
        <v>0</v>
      </c>
      <c r="E352" s="47">
        <f t="shared" si="9"/>
        <v>611</v>
      </c>
      <c r="F352" s="47">
        <f t="shared" si="9"/>
        <v>0</v>
      </c>
      <c r="G352" s="47">
        <f t="shared" si="11"/>
        <v>887</v>
      </c>
      <c r="H352" s="47"/>
      <c r="I352" s="47" t="s">
        <v>487</v>
      </c>
      <c r="J352" s="47">
        <f t="shared" si="10"/>
        <v>44</v>
      </c>
      <c r="K352" s="47">
        <f t="shared" si="10"/>
        <v>216.5</v>
      </c>
      <c r="L352" s="47">
        <f t="shared" si="10"/>
        <v>51</v>
      </c>
      <c r="M352" s="47">
        <f t="shared" si="10"/>
        <v>0</v>
      </c>
      <c r="N352" s="47">
        <f t="shared" si="10"/>
        <v>611</v>
      </c>
      <c r="O352" s="47">
        <f t="shared" si="10"/>
        <v>0</v>
      </c>
      <c r="P352" s="47">
        <f t="shared" si="8"/>
        <v>922.5</v>
      </c>
    </row>
    <row r="353" spans="1:16" ht="42.75">
      <c r="A353" s="47" t="s">
        <v>488</v>
      </c>
      <c r="B353" s="47">
        <f t="shared" si="9"/>
        <v>43.5</v>
      </c>
      <c r="C353" s="47">
        <f t="shared" si="9"/>
        <v>102</v>
      </c>
      <c r="D353" s="47">
        <f t="shared" si="9"/>
        <v>0</v>
      </c>
      <c r="E353" s="47">
        <f t="shared" si="9"/>
        <v>611</v>
      </c>
      <c r="F353" s="47">
        <f t="shared" si="9"/>
        <v>0</v>
      </c>
      <c r="G353" s="47">
        <f t="shared" si="11"/>
        <v>756.5</v>
      </c>
      <c r="H353" s="47"/>
      <c r="I353" s="47" t="s">
        <v>488</v>
      </c>
      <c r="J353" s="47">
        <f t="shared" si="10"/>
        <v>44</v>
      </c>
      <c r="K353" s="47">
        <f t="shared" si="10"/>
        <v>102</v>
      </c>
      <c r="L353" s="47">
        <f t="shared" si="10"/>
        <v>51</v>
      </c>
      <c r="M353" s="47">
        <f t="shared" si="10"/>
        <v>0</v>
      </c>
      <c r="N353" s="47">
        <f t="shared" si="10"/>
        <v>611</v>
      </c>
      <c r="O353" s="47">
        <f t="shared" si="10"/>
        <v>0</v>
      </c>
      <c r="P353" s="47">
        <f t="shared" si="8"/>
        <v>808</v>
      </c>
    </row>
    <row r="354" spans="1:16" ht="15">
      <c r="A354" s="55" t="s">
        <v>495</v>
      </c>
      <c r="C354" s="47"/>
      <c r="D354" s="47"/>
      <c r="E354" s="47"/>
      <c r="F354" s="47"/>
      <c r="G354" s="55" t="s">
        <v>632</v>
      </c>
      <c r="H354" s="47"/>
    </row>
    <row r="355" spans="1:16" ht="71.25">
      <c r="A355" s="152" t="s">
        <v>482</v>
      </c>
      <c r="B355" s="47" t="s">
        <v>496</v>
      </c>
      <c r="C355" s="47" t="s">
        <v>483</v>
      </c>
      <c r="D355" s="47" t="s">
        <v>497</v>
      </c>
      <c r="E355" s="47" t="s">
        <v>381</v>
      </c>
      <c r="F355" s="47" t="s">
        <v>382</v>
      </c>
      <c r="G355" s="47" t="s">
        <v>390</v>
      </c>
      <c r="H355" s="47"/>
      <c r="I355" s="152" t="s">
        <v>482</v>
      </c>
      <c r="J355" s="47" t="s">
        <v>496</v>
      </c>
      <c r="K355" s="47" t="s">
        <v>483</v>
      </c>
      <c r="L355" s="47" t="s">
        <v>289</v>
      </c>
      <c r="M355" s="47" t="s">
        <v>293</v>
      </c>
      <c r="N355" s="47" t="s">
        <v>381</v>
      </c>
      <c r="O355" s="47" t="s">
        <v>382</v>
      </c>
      <c r="P355" s="47" t="s">
        <v>390</v>
      </c>
    </row>
    <row r="356" spans="1:16">
      <c r="A356" s="47" t="s">
        <v>391</v>
      </c>
      <c r="B356" s="47">
        <v>44</v>
      </c>
      <c r="C356" s="47">
        <v>162</v>
      </c>
      <c r="D356" s="47">
        <v>670</v>
      </c>
      <c r="E356" s="47">
        <v>0</v>
      </c>
      <c r="F356" s="47">
        <v>5</v>
      </c>
      <c r="G356" s="47">
        <f>SUM(B356:F356)</f>
        <v>881</v>
      </c>
      <c r="H356" s="47"/>
      <c r="I356" s="47" t="s">
        <v>391</v>
      </c>
      <c r="J356" s="47">
        <v>45</v>
      </c>
      <c r="K356" s="47">
        <v>162</v>
      </c>
      <c r="L356">
        <v>34</v>
      </c>
      <c r="M356" s="47">
        <v>1124</v>
      </c>
      <c r="N356" s="47">
        <v>0</v>
      </c>
      <c r="O356" s="47">
        <v>5</v>
      </c>
      <c r="P356" s="47">
        <f t="shared" ref="P356:P363" si="12">SUM(J356:O356)</f>
        <v>1370</v>
      </c>
    </row>
    <row r="357" spans="1:16">
      <c r="A357" s="47" t="s">
        <v>1080</v>
      </c>
      <c r="B357" s="47">
        <v>44</v>
      </c>
      <c r="C357" s="47">
        <v>60</v>
      </c>
      <c r="D357" s="47">
        <v>563</v>
      </c>
      <c r="E357" s="47">
        <v>0</v>
      </c>
      <c r="F357" s="47">
        <v>5</v>
      </c>
      <c r="G357" s="47">
        <f>SUM(B357:F357)</f>
        <v>672</v>
      </c>
      <c r="H357" s="47"/>
      <c r="I357" s="47" t="s">
        <v>1080</v>
      </c>
      <c r="J357" s="47">
        <v>45</v>
      </c>
      <c r="K357" s="47">
        <v>60</v>
      </c>
      <c r="L357">
        <v>26</v>
      </c>
      <c r="M357" s="47">
        <v>404</v>
      </c>
      <c r="N357" s="47">
        <v>0</v>
      </c>
      <c r="O357" s="47">
        <v>5</v>
      </c>
      <c r="P357" s="47">
        <f t="shared" si="12"/>
        <v>540</v>
      </c>
    </row>
    <row r="358" spans="1:16">
      <c r="A358" s="47" t="s">
        <v>392</v>
      </c>
      <c r="B358" s="47">
        <v>44</v>
      </c>
      <c r="C358" s="47">
        <v>125</v>
      </c>
      <c r="D358" s="47">
        <v>782</v>
      </c>
      <c r="E358" s="47">
        <v>0</v>
      </c>
      <c r="F358" s="47">
        <v>5</v>
      </c>
      <c r="G358" s="47">
        <f t="shared" ref="G358:G363" si="13">SUM(B358:F358)</f>
        <v>956</v>
      </c>
      <c r="I358" s="47" t="s">
        <v>392</v>
      </c>
      <c r="J358" s="47">
        <v>45</v>
      </c>
      <c r="K358" s="47">
        <v>125</v>
      </c>
      <c r="L358">
        <v>42</v>
      </c>
      <c r="M358" s="47">
        <v>645</v>
      </c>
      <c r="N358" s="47">
        <v>0</v>
      </c>
      <c r="O358" s="47">
        <v>5</v>
      </c>
      <c r="P358" s="47">
        <f t="shared" si="12"/>
        <v>862</v>
      </c>
    </row>
    <row r="359" spans="1:16" ht="28.5">
      <c r="A359" s="47" t="s">
        <v>393</v>
      </c>
      <c r="B359" s="47">
        <v>44</v>
      </c>
      <c r="C359" s="47">
        <v>237</v>
      </c>
      <c r="D359" s="47">
        <v>376</v>
      </c>
      <c r="E359" s="47">
        <v>0</v>
      </c>
      <c r="F359" s="47">
        <v>5</v>
      </c>
      <c r="G359" s="47">
        <f t="shared" si="13"/>
        <v>662</v>
      </c>
      <c r="I359" s="47" t="s">
        <v>393</v>
      </c>
      <c r="J359" s="47">
        <v>45</v>
      </c>
      <c r="K359" s="47">
        <v>237</v>
      </c>
      <c r="L359">
        <v>19</v>
      </c>
      <c r="M359" s="47">
        <v>289</v>
      </c>
      <c r="N359" s="47">
        <v>0</v>
      </c>
      <c r="O359" s="47">
        <v>5</v>
      </c>
      <c r="P359" s="47">
        <f t="shared" si="12"/>
        <v>595</v>
      </c>
    </row>
    <row r="360" spans="1:16">
      <c r="A360" s="47" t="s">
        <v>990</v>
      </c>
      <c r="B360" s="47">
        <v>44</v>
      </c>
      <c r="C360" s="47">
        <v>258</v>
      </c>
      <c r="D360" s="47">
        <v>371</v>
      </c>
      <c r="E360" s="47">
        <v>0</v>
      </c>
      <c r="F360" s="47">
        <v>5</v>
      </c>
      <c r="G360" s="47">
        <f t="shared" si="13"/>
        <v>678</v>
      </c>
      <c r="I360" s="47" t="s">
        <v>990</v>
      </c>
      <c r="J360" s="47">
        <v>45</v>
      </c>
      <c r="K360" s="47">
        <v>258</v>
      </c>
      <c r="L360">
        <v>19</v>
      </c>
      <c r="M360" s="47">
        <v>621</v>
      </c>
      <c r="N360" s="47">
        <v>0</v>
      </c>
      <c r="O360" s="47">
        <v>5</v>
      </c>
      <c r="P360" s="47">
        <f t="shared" si="12"/>
        <v>948</v>
      </c>
    </row>
    <row r="361" spans="1:16" ht="28.5">
      <c r="A361" s="47" t="s">
        <v>394</v>
      </c>
      <c r="B361" s="47">
        <v>36</v>
      </c>
      <c r="C361" s="47">
        <v>146</v>
      </c>
      <c r="D361" s="47">
        <v>1022</v>
      </c>
      <c r="E361" s="47">
        <v>0</v>
      </c>
      <c r="F361" s="47">
        <v>0</v>
      </c>
      <c r="G361" s="47">
        <f t="shared" si="13"/>
        <v>1204</v>
      </c>
      <c r="I361" s="47" t="s">
        <v>394</v>
      </c>
      <c r="J361" s="47">
        <v>37</v>
      </c>
      <c r="K361" s="47">
        <v>146</v>
      </c>
      <c r="L361">
        <v>51</v>
      </c>
      <c r="M361" s="47">
        <v>785</v>
      </c>
      <c r="N361" s="47">
        <v>0</v>
      </c>
      <c r="O361" s="47">
        <v>0</v>
      </c>
      <c r="P361" s="47">
        <f t="shared" si="12"/>
        <v>1019</v>
      </c>
    </row>
    <row r="362" spans="1:16" ht="28.5">
      <c r="A362" s="47" t="s">
        <v>487</v>
      </c>
      <c r="B362" s="47">
        <v>36</v>
      </c>
      <c r="C362" s="47">
        <v>146</v>
      </c>
      <c r="D362" s="47">
        <v>0</v>
      </c>
      <c r="E362" s="47">
        <v>611</v>
      </c>
      <c r="F362" s="47">
        <v>0</v>
      </c>
      <c r="G362" s="47">
        <f t="shared" si="13"/>
        <v>793</v>
      </c>
      <c r="I362" s="47" t="s">
        <v>487</v>
      </c>
      <c r="J362" s="47">
        <v>37</v>
      </c>
      <c r="K362" s="47">
        <v>146</v>
      </c>
      <c r="L362">
        <v>51</v>
      </c>
      <c r="M362" s="47">
        <v>0</v>
      </c>
      <c r="N362" s="47">
        <v>611</v>
      </c>
      <c r="O362" s="47">
        <v>0</v>
      </c>
      <c r="P362" s="47">
        <f t="shared" si="12"/>
        <v>845</v>
      </c>
    </row>
    <row r="363" spans="1:16" ht="42.75">
      <c r="A363" s="47" t="s">
        <v>488</v>
      </c>
      <c r="B363" s="47">
        <v>36</v>
      </c>
      <c r="C363" s="47">
        <v>102</v>
      </c>
      <c r="D363" s="47">
        <v>0</v>
      </c>
      <c r="E363" s="47">
        <v>611</v>
      </c>
      <c r="F363" s="47">
        <v>0</v>
      </c>
      <c r="G363" s="47">
        <f t="shared" si="13"/>
        <v>749</v>
      </c>
      <c r="I363" s="47" t="s">
        <v>488</v>
      </c>
      <c r="J363" s="47">
        <v>37</v>
      </c>
      <c r="K363" s="47">
        <v>102</v>
      </c>
      <c r="L363">
        <v>51</v>
      </c>
      <c r="M363" s="47">
        <v>0</v>
      </c>
      <c r="N363" s="47">
        <v>611</v>
      </c>
      <c r="O363" s="47">
        <v>0</v>
      </c>
      <c r="P363" s="47">
        <f t="shared" si="12"/>
        <v>801</v>
      </c>
    </row>
    <row r="365" spans="1:16" ht="71.25">
      <c r="A365" s="152" t="s">
        <v>482</v>
      </c>
      <c r="B365" s="47" t="s">
        <v>498</v>
      </c>
      <c r="C365" s="47" t="s">
        <v>499</v>
      </c>
      <c r="D365" s="47" t="s">
        <v>629</v>
      </c>
      <c r="E365" s="47" t="s">
        <v>501</v>
      </c>
      <c r="F365" s="47" t="s">
        <v>626</v>
      </c>
      <c r="G365" s="47" t="s">
        <v>627</v>
      </c>
      <c r="I365" s="152" t="s">
        <v>482</v>
      </c>
      <c r="J365" s="47" t="s">
        <v>498</v>
      </c>
      <c r="K365" s="47" t="s">
        <v>499</v>
      </c>
      <c r="L365" s="47" t="s">
        <v>289</v>
      </c>
      <c r="M365" s="47" t="s">
        <v>294</v>
      </c>
      <c r="N365" s="47" t="s">
        <v>501</v>
      </c>
      <c r="O365" s="47" t="s">
        <v>626</v>
      </c>
      <c r="P365" s="47" t="s">
        <v>627</v>
      </c>
    </row>
    <row r="366" spans="1:16">
      <c r="A366" s="47" t="s">
        <v>391</v>
      </c>
      <c r="B366" s="47">
        <v>61</v>
      </c>
      <c r="C366" s="47">
        <v>300</v>
      </c>
      <c r="D366" s="47">
        <v>837</v>
      </c>
      <c r="E366" s="47">
        <v>0</v>
      </c>
      <c r="F366" s="47">
        <v>16</v>
      </c>
      <c r="G366" s="47">
        <f>SUM(B366:F366)</f>
        <v>1214</v>
      </c>
      <c r="I366" s="47" t="s">
        <v>391</v>
      </c>
      <c r="J366" s="47">
        <v>61</v>
      </c>
      <c r="K366" s="47">
        <v>300</v>
      </c>
      <c r="L366">
        <v>34</v>
      </c>
      <c r="M366" s="47">
        <v>1376</v>
      </c>
      <c r="N366" s="47">
        <v>0</v>
      </c>
      <c r="O366" s="47">
        <v>16</v>
      </c>
      <c r="P366" s="47">
        <f t="shared" ref="P366:P373" si="14">SUM(J366:O366)</f>
        <v>1787</v>
      </c>
    </row>
    <row r="367" spans="1:16">
      <c r="A367" s="47" t="s">
        <v>1080</v>
      </c>
      <c r="B367" s="47">
        <v>61</v>
      </c>
      <c r="C367" s="47">
        <v>63</v>
      </c>
      <c r="D367" s="47">
        <v>657</v>
      </c>
      <c r="E367" s="47">
        <v>0</v>
      </c>
      <c r="F367" s="47">
        <v>16</v>
      </c>
      <c r="G367" s="47">
        <f>SUM(B367:F367)</f>
        <v>797</v>
      </c>
      <c r="I367" s="47" t="s">
        <v>1080</v>
      </c>
      <c r="J367" s="47">
        <v>61</v>
      </c>
      <c r="K367" s="47">
        <v>63</v>
      </c>
      <c r="L367">
        <v>26</v>
      </c>
      <c r="M367" s="47">
        <v>882</v>
      </c>
      <c r="N367" s="47">
        <v>0</v>
      </c>
      <c r="O367" s="47">
        <v>16</v>
      </c>
      <c r="P367" s="47">
        <f t="shared" si="14"/>
        <v>1048</v>
      </c>
    </row>
    <row r="368" spans="1:16">
      <c r="A368" s="47" t="s">
        <v>392</v>
      </c>
      <c r="B368" s="47">
        <v>61</v>
      </c>
      <c r="C368" s="47">
        <v>250</v>
      </c>
      <c r="D368" s="47">
        <v>975</v>
      </c>
      <c r="E368" s="47">
        <v>0</v>
      </c>
      <c r="F368" s="47">
        <v>16</v>
      </c>
      <c r="G368" s="47">
        <f t="shared" ref="G368:G373" si="15">SUM(B368:F368)</f>
        <v>1302</v>
      </c>
      <c r="I368" s="47" t="s">
        <v>392</v>
      </c>
      <c r="J368" s="47">
        <v>61</v>
      </c>
      <c r="K368" s="47">
        <v>250</v>
      </c>
      <c r="L368">
        <v>42</v>
      </c>
      <c r="M368" s="47">
        <v>1407</v>
      </c>
      <c r="N368" s="47">
        <v>0</v>
      </c>
      <c r="O368" s="47">
        <v>16</v>
      </c>
      <c r="P368" s="47">
        <f t="shared" si="14"/>
        <v>1776</v>
      </c>
    </row>
    <row r="369" spans="1:16" ht="28.5">
      <c r="A369" s="47" t="s">
        <v>393</v>
      </c>
      <c r="B369" s="47">
        <v>61</v>
      </c>
      <c r="C369" s="47">
        <v>343</v>
      </c>
      <c r="D369" s="47">
        <v>469</v>
      </c>
      <c r="E369" s="47">
        <v>0</v>
      </c>
      <c r="F369" s="47">
        <v>16</v>
      </c>
      <c r="G369" s="47">
        <f t="shared" si="15"/>
        <v>889</v>
      </c>
      <c r="I369" s="47" t="s">
        <v>393</v>
      </c>
      <c r="J369" s="47">
        <v>61</v>
      </c>
      <c r="K369" s="47">
        <v>343</v>
      </c>
      <c r="L369">
        <v>19</v>
      </c>
      <c r="M369" s="47">
        <v>630</v>
      </c>
      <c r="N369" s="47">
        <v>0</v>
      </c>
      <c r="O369" s="47">
        <v>16</v>
      </c>
      <c r="P369" s="47">
        <f t="shared" si="14"/>
        <v>1069</v>
      </c>
    </row>
    <row r="370" spans="1:16">
      <c r="A370" s="47" t="s">
        <v>990</v>
      </c>
      <c r="B370" s="47">
        <v>61</v>
      </c>
      <c r="C370" s="47">
        <v>711</v>
      </c>
      <c r="D370" s="47">
        <v>463</v>
      </c>
      <c r="E370" s="47">
        <v>0</v>
      </c>
      <c r="F370" s="47">
        <v>16</v>
      </c>
      <c r="G370" s="47">
        <f t="shared" si="15"/>
        <v>1251</v>
      </c>
      <c r="I370" s="47" t="s">
        <v>990</v>
      </c>
      <c r="J370" s="47">
        <v>61</v>
      </c>
      <c r="K370" s="47">
        <v>711</v>
      </c>
      <c r="L370">
        <v>19</v>
      </c>
      <c r="M370" s="47">
        <v>761</v>
      </c>
      <c r="N370" s="47">
        <v>0</v>
      </c>
      <c r="O370" s="47">
        <v>16</v>
      </c>
      <c r="P370" s="47">
        <f t="shared" si="14"/>
        <v>1568</v>
      </c>
    </row>
    <row r="371" spans="1:16" ht="28.5">
      <c r="A371" s="47" t="s">
        <v>394</v>
      </c>
      <c r="B371" s="47">
        <v>51</v>
      </c>
      <c r="C371" s="47">
        <v>319</v>
      </c>
      <c r="D371" s="47">
        <v>1276</v>
      </c>
      <c r="E371" s="47">
        <v>0</v>
      </c>
      <c r="F371" s="47">
        <v>0</v>
      </c>
      <c r="G371" s="47">
        <f t="shared" si="15"/>
        <v>1646</v>
      </c>
      <c r="I371" s="47" t="s">
        <v>394</v>
      </c>
      <c r="J371" s="47">
        <v>51</v>
      </c>
      <c r="K371" s="47">
        <v>287</v>
      </c>
      <c r="L371">
        <v>51</v>
      </c>
      <c r="M371" s="47">
        <v>1712</v>
      </c>
      <c r="N371" s="47">
        <v>0</v>
      </c>
      <c r="O371" s="47">
        <v>0</v>
      </c>
      <c r="P371" s="47">
        <f t="shared" si="14"/>
        <v>2101</v>
      </c>
    </row>
    <row r="372" spans="1:16" ht="28.5">
      <c r="A372" s="47" t="s">
        <v>487</v>
      </c>
      <c r="B372" s="47">
        <v>51</v>
      </c>
      <c r="C372" s="47">
        <v>319</v>
      </c>
      <c r="D372" s="47">
        <v>0</v>
      </c>
      <c r="E372" s="47">
        <v>611</v>
      </c>
      <c r="F372" s="47">
        <v>0</v>
      </c>
      <c r="G372" s="47">
        <f t="shared" si="15"/>
        <v>981</v>
      </c>
      <c r="I372" s="47" t="s">
        <v>487</v>
      </c>
      <c r="J372" s="47">
        <v>51</v>
      </c>
      <c r="K372" s="47">
        <v>287</v>
      </c>
      <c r="L372">
        <v>51</v>
      </c>
      <c r="M372" s="47">
        <v>0</v>
      </c>
      <c r="N372" s="47">
        <v>611</v>
      </c>
      <c r="O372" s="47">
        <v>0</v>
      </c>
      <c r="P372" s="47">
        <f t="shared" si="14"/>
        <v>1000</v>
      </c>
    </row>
    <row r="373" spans="1:16" ht="42.75">
      <c r="A373" s="47" t="s">
        <v>488</v>
      </c>
      <c r="B373" s="47">
        <v>51</v>
      </c>
      <c r="C373" s="47">
        <v>102</v>
      </c>
      <c r="D373" s="47">
        <v>0</v>
      </c>
      <c r="E373" s="47">
        <v>611</v>
      </c>
      <c r="F373" s="47">
        <v>0</v>
      </c>
      <c r="G373" s="47">
        <f t="shared" si="15"/>
        <v>764</v>
      </c>
      <c r="I373" s="47" t="s">
        <v>488</v>
      </c>
      <c r="J373" s="47">
        <v>51</v>
      </c>
      <c r="K373" s="47">
        <v>102</v>
      </c>
      <c r="L373">
        <v>51</v>
      </c>
      <c r="M373" s="47">
        <v>0</v>
      </c>
      <c r="N373" s="47">
        <v>611</v>
      </c>
      <c r="O373" s="47">
        <v>0</v>
      </c>
      <c r="P373" s="47">
        <f t="shared" si="14"/>
        <v>815</v>
      </c>
    </row>
    <row r="375" spans="1:16" ht="71.25">
      <c r="A375" s="152" t="s">
        <v>482</v>
      </c>
      <c r="B375" s="47" t="s">
        <v>489</v>
      </c>
      <c r="C375" s="47" t="s">
        <v>490</v>
      </c>
      <c r="D375" s="47" t="s">
        <v>491</v>
      </c>
      <c r="E375" s="47" t="s">
        <v>492</v>
      </c>
      <c r="F375" s="47" t="s">
        <v>493</v>
      </c>
      <c r="G375" s="47" t="s">
        <v>494</v>
      </c>
      <c r="I375" s="152" t="s">
        <v>482</v>
      </c>
      <c r="J375" s="47" t="s">
        <v>489</v>
      </c>
      <c r="K375" s="47" t="s">
        <v>490</v>
      </c>
      <c r="L375" s="47" t="s">
        <v>291</v>
      </c>
      <c r="M375" s="47" t="s">
        <v>350</v>
      </c>
      <c r="N375" s="47" t="s">
        <v>492</v>
      </c>
      <c r="O375" s="47" t="s">
        <v>493</v>
      </c>
      <c r="P375" s="47" t="s">
        <v>494</v>
      </c>
    </row>
    <row r="376" spans="1:16" ht="28.5">
      <c r="A376" s="47" t="s">
        <v>391</v>
      </c>
      <c r="B376" s="47">
        <f t="shared" ref="B376:G376" si="16">(B366+B356)/2</f>
        <v>52.5</v>
      </c>
      <c r="C376" s="47">
        <f t="shared" si="16"/>
        <v>231</v>
      </c>
      <c r="D376" s="47">
        <f t="shared" si="16"/>
        <v>753.5</v>
      </c>
      <c r="E376" s="47">
        <f t="shared" si="16"/>
        <v>0</v>
      </c>
      <c r="F376" s="47">
        <f t="shared" si="16"/>
        <v>10.5</v>
      </c>
      <c r="G376" s="47">
        <f t="shared" si="16"/>
        <v>1047.5</v>
      </c>
      <c r="I376" s="47" t="s">
        <v>383</v>
      </c>
      <c r="J376" s="47">
        <f t="shared" ref="J376:O376" si="17">(J366+J356)/2</f>
        <v>53</v>
      </c>
      <c r="K376" s="47">
        <f t="shared" si="17"/>
        <v>231</v>
      </c>
      <c r="L376" s="47">
        <f t="shared" si="17"/>
        <v>34</v>
      </c>
      <c r="M376" s="47">
        <f t="shared" si="17"/>
        <v>1250</v>
      </c>
      <c r="N376" s="47">
        <f t="shared" si="17"/>
        <v>0</v>
      </c>
      <c r="O376" s="47">
        <f t="shared" si="17"/>
        <v>10.5</v>
      </c>
      <c r="P376" s="47">
        <f t="shared" ref="P376:P383" si="18">SUM(J376:O376)</f>
        <v>1578.5</v>
      </c>
    </row>
    <row r="377" spans="1:16">
      <c r="A377" s="47" t="s">
        <v>1080</v>
      </c>
      <c r="B377" s="47">
        <f t="shared" ref="B377:B383" si="19">(B367+B357)/2</f>
        <v>52.5</v>
      </c>
      <c r="C377" s="47">
        <f t="shared" ref="C377:G381" si="20">(C367+C357)/2</f>
        <v>61.5</v>
      </c>
      <c r="D377" s="47">
        <f t="shared" si="20"/>
        <v>610</v>
      </c>
      <c r="E377" s="47">
        <f t="shared" si="20"/>
        <v>0</v>
      </c>
      <c r="F377" s="47">
        <f t="shared" si="20"/>
        <v>10.5</v>
      </c>
      <c r="G377" s="47">
        <f t="shared" si="20"/>
        <v>734.5</v>
      </c>
      <c r="I377" s="47" t="s">
        <v>344</v>
      </c>
      <c r="J377" s="47">
        <f t="shared" ref="J377:O377" si="21">(J367+J357)/2</f>
        <v>53</v>
      </c>
      <c r="K377" s="47">
        <f t="shared" si="21"/>
        <v>61.5</v>
      </c>
      <c r="L377" s="47">
        <f t="shared" si="21"/>
        <v>26</v>
      </c>
      <c r="M377" s="47">
        <f t="shared" si="21"/>
        <v>643</v>
      </c>
      <c r="N377" s="47">
        <f t="shared" si="21"/>
        <v>0</v>
      </c>
      <c r="O377" s="47">
        <f t="shared" si="21"/>
        <v>10.5</v>
      </c>
      <c r="P377" s="47">
        <f t="shared" si="18"/>
        <v>794</v>
      </c>
    </row>
    <row r="378" spans="1:16" ht="28.5">
      <c r="A378" s="47" t="s">
        <v>392</v>
      </c>
      <c r="B378" s="47">
        <f t="shared" si="19"/>
        <v>52.5</v>
      </c>
      <c r="C378" s="47">
        <f t="shared" si="20"/>
        <v>187.5</v>
      </c>
      <c r="D378" s="47">
        <f t="shared" si="20"/>
        <v>878.5</v>
      </c>
      <c r="E378" s="47">
        <f t="shared" si="20"/>
        <v>0</v>
      </c>
      <c r="F378" s="47">
        <f t="shared" si="20"/>
        <v>10.5</v>
      </c>
      <c r="G378" s="47">
        <f t="shared" si="20"/>
        <v>1129</v>
      </c>
      <c r="I378" s="47" t="s">
        <v>345</v>
      </c>
      <c r="J378" s="47">
        <f t="shared" ref="J378:O378" si="22">(J368+J358)/2</f>
        <v>53</v>
      </c>
      <c r="K378" s="47">
        <f t="shared" si="22"/>
        <v>187.5</v>
      </c>
      <c r="L378" s="47">
        <f t="shared" si="22"/>
        <v>42</v>
      </c>
      <c r="M378" s="47">
        <f t="shared" si="22"/>
        <v>1026</v>
      </c>
      <c r="N378" s="47">
        <f t="shared" si="22"/>
        <v>0</v>
      </c>
      <c r="O378" s="47">
        <f t="shared" si="22"/>
        <v>10.5</v>
      </c>
      <c r="P378" s="47">
        <f t="shared" si="18"/>
        <v>1319</v>
      </c>
    </row>
    <row r="379" spans="1:16" ht="28.5">
      <c r="A379" s="47" t="s">
        <v>393</v>
      </c>
      <c r="B379" s="47">
        <f t="shared" si="19"/>
        <v>52.5</v>
      </c>
      <c r="C379" s="47">
        <f t="shared" si="20"/>
        <v>290</v>
      </c>
      <c r="D379" s="47">
        <f t="shared" si="20"/>
        <v>422.5</v>
      </c>
      <c r="E379" s="47">
        <f t="shared" si="20"/>
        <v>0</v>
      </c>
      <c r="F379" s="47">
        <f t="shared" si="20"/>
        <v>10.5</v>
      </c>
      <c r="G379" s="47">
        <f t="shared" si="20"/>
        <v>775.5</v>
      </c>
      <c r="I379" s="47" t="s">
        <v>384</v>
      </c>
      <c r="J379" s="47">
        <f t="shared" ref="J379:O379" si="23">(J369+J359)/2</f>
        <v>53</v>
      </c>
      <c r="K379" s="47">
        <f t="shared" si="23"/>
        <v>290</v>
      </c>
      <c r="L379" s="47">
        <f t="shared" si="23"/>
        <v>19</v>
      </c>
      <c r="M379" s="47">
        <f t="shared" si="23"/>
        <v>459.5</v>
      </c>
      <c r="N379" s="47">
        <f t="shared" si="23"/>
        <v>0</v>
      </c>
      <c r="O379" s="47">
        <f t="shared" si="23"/>
        <v>10.5</v>
      </c>
      <c r="P379" s="47">
        <f t="shared" si="18"/>
        <v>832</v>
      </c>
    </row>
    <row r="380" spans="1:16">
      <c r="A380" s="47" t="s">
        <v>990</v>
      </c>
      <c r="B380" s="47">
        <f t="shared" si="19"/>
        <v>52.5</v>
      </c>
      <c r="C380" s="47">
        <f t="shared" si="20"/>
        <v>484.5</v>
      </c>
      <c r="D380" s="47">
        <f t="shared" si="20"/>
        <v>417</v>
      </c>
      <c r="E380" s="47">
        <f t="shared" si="20"/>
        <v>0</v>
      </c>
      <c r="F380" s="47">
        <f t="shared" si="20"/>
        <v>10.5</v>
      </c>
      <c r="G380" s="47">
        <f t="shared" si="20"/>
        <v>964.5</v>
      </c>
      <c r="I380" s="47" t="s">
        <v>395</v>
      </c>
      <c r="J380" s="47">
        <f t="shared" ref="J380:O380" si="24">(J370+J360)/2</f>
        <v>53</v>
      </c>
      <c r="K380" s="47">
        <f t="shared" si="24"/>
        <v>484.5</v>
      </c>
      <c r="L380" s="47">
        <f t="shared" si="24"/>
        <v>19</v>
      </c>
      <c r="M380" s="47">
        <f t="shared" si="24"/>
        <v>691</v>
      </c>
      <c r="N380" s="47">
        <f t="shared" si="24"/>
        <v>0</v>
      </c>
      <c r="O380" s="47">
        <f t="shared" si="24"/>
        <v>10.5</v>
      </c>
      <c r="P380" s="47">
        <f t="shared" si="18"/>
        <v>1258</v>
      </c>
    </row>
    <row r="381" spans="1:16" ht="28.5">
      <c r="A381" s="47" t="s">
        <v>394</v>
      </c>
      <c r="B381" s="47">
        <f t="shared" si="19"/>
        <v>43.5</v>
      </c>
      <c r="C381" s="47">
        <f t="shared" si="20"/>
        <v>232.5</v>
      </c>
      <c r="D381" s="47">
        <f t="shared" si="20"/>
        <v>1149</v>
      </c>
      <c r="E381" s="47">
        <f t="shared" si="20"/>
        <v>0</v>
      </c>
      <c r="F381" s="47">
        <f t="shared" si="20"/>
        <v>0</v>
      </c>
      <c r="G381" s="47">
        <f t="shared" si="20"/>
        <v>1425</v>
      </c>
      <c r="I381" s="47" t="s">
        <v>396</v>
      </c>
      <c r="J381" s="47">
        <f t="shared" ref="J381:O381" si="25">(J371+J361)/2</f>
        <v>44</v>
      </c>
      <c r="K381" s="47">
        <f t="shared" si="25"/>
        <v>216.5</v>
      </c>
      <c r="L381" s="47">
        <f t="shared" si="25"/>
        <v>51</v>
      </c>
      <c r="M381" s="47">
        <f t="shared" si="25"/>
        <v>1248.5</v>
      </c>
      <c r="N381" s="47">
        <f t="shared" si="25"/>
        <v>0</v>
      </c>
      <c r="O381" s="47">
        <f t="shared" si="25"/>
        <v>0</v>
      </c>
      <c r="P381" s="47">
        <f t="shared" si="18"/>
        <v>1560</v>
      </c>
    </row>
    <row r="382" spans="1:16" ht="42.75">
      <c r="A382" s="47" t="s">
        <v>487</v>
      </c>
      <c r="B382" s="47">
        <f t="shared" si="19"/>
        <v>43.5</v>
      </c>
      <c r="C382" s="47">
        <f t="shared" ref="C382:G383" si="26">(C372+C362)/2</f>
        <v>232.5</v>
      </c>
      <c r="D382" s="47">
        <f t="shared" si="26"/>
        <v>0</v>
      </c>
      <c r="E382" s="47">
        <f t="shared" si="26"/>
        <v>611</v>
      </c>
      <c r="F382" s="47">
        <f t="shared" si="26"/>
        <v>0</v>
      </c>
      <c r="G382" s="47">
        <f t="shared" si="26"/>
        <v>887</v>
      </c>
      <c r="I382" s="47" t="s">
        <v>385</v>
      </c>
      <c r="J382" s="47">
        <f t="shared" ref="J382:O382" si="27">(J372+J362)/2</f>
        <v>44</v>
      </c>
      <c r="K382" s="47">
        <f t="shared" si="27"/>
        <v>216.5</v>
      </c>
      <c r="L382" s="47">
        <f t="shared" si="27"/>
        <v>51</v>
      </c>
      <c r="M382" s="47">
        <f t="shared" si="27"/>
        <v>0</v>
      </c>
      <c r="N382" s="47">
        <f t="shared" si="27"/>
        <v>611</v>
      </c>
      <c r="O382" s="47">
        <f t="shared" si="27"/>
        <v>0</v>
      </c>
      <c r="P382" s="47">
        <f t="shared" si="18"/>
        <v>922.5</v>
      </c>
    </row>
    <row r="383" spans="1:16" ht="42.75">
      <c r="A383" s="47" t="s">
        <v>488</v>
      </c>
      <c r="B383" s="47">
        <f t="shared" si="19"/>
        <v>43.5</v>
      </c>
      <c r="C383" s="47">
        <f t="shared" si="26"/>
        <v>102</v>
      </c>
      <c r="D383" s="47">
        <f t="shared" si="26"/>
        <v>0</v>
      </c>
      <c r="E383" s="47">
        <f t="shared" si="26"/>
        <v>611</v>
      </c>
      <c r="F383" s="47">
        <f t="shared" si="26"/>
        <v>0</v>
      </c>
      <c r="G383" s="47">
        <f t="shared" si="26"/>
        <v>756.5</v>
      </c>
      <c r="I383" s="47" t="s">
        <v>386</v>
      </c>
      <c r="J383" s="47">
        <f t="shared" ref="J383:O383" si="28">(J373+J363)/2</f>
        <v>44</v>
      </c>
      <c r="K383" s="47">
        <f t="shared" si="28"/>
        <v>102</v>
      </c>
      <c r="L383" s="47">
        <f t="shared" si="28"/>
        <v>51</v>
      </c>
      <c r="M383" s="47">
        <f t="shared" si="28"/>
        <v>0</v>
      </c>
      <c r="N383" s="47">
        <f t="shared" si="28"/>
        <v>611</v>
      </c>
      <c r="O383" s="47">
        <f t="shared" si="28"/>
        <v>0</v>
      </c>
      <c r="P383" s="47">
        <f t="shared" si="18"/>
        <v>808</v>
      </c>
    </row>
    <row r="385" spans="1:3" ht="42.75">
      <c r="A385" s="152" t="s">
        <v>482</v>
      </c>
      <c r="B385" s="47" t="s">
        <v>630</v>
      </c>
      <c r="C385" s="47" t="s">
        <v>631</v>
      </c>
    </row>
    <row r="386" spans="1:3">
      <c r="A386" s="47" t="s">
        <v>391</v>
      </c>
      <c r="B386" s="47">
        <f t="shared" ref="B386:B391" si="29">(1*G346)</f>
        <v>700</v>
      </c>
      <c r="C386" s="47">
        <f>(1*G376)</f>
        <v>1047.5</v>
      </c>
    </row>
    <row r="387" spans="1:3">
      <c r="A387" s="47" t="s">
        <v>1080</v>
      </c>
      <c r="B387" s="47">
        <f t="shared" si="29"/>
        <v>348.5</v>
      </c>
      <c r="C387" s="47">
        <f t="shared" ref="C387:C393" si="30">(1*G377)</f>
        <v>734.5</v>
      </c>
    </row>
    <row r="388" spans="1:3">
      <c r="A388" s="47" t="s">
        <v>392</v>
      </c>
      <c r="B388" s="47">
        <f t="shared" si="29"/>
        <v>655.5</v>
      </c>
      <c r="C388" s="47">
        <f t="shared" si="30"/>
        <v>1129</v>
      </c>
    </row>
    <row r="389" spans="1:3" ht="28.5">
      <c r="A389" s="47" t="s">
        <v>393</v>
      </c>
      <c r="B389" s="47">
        <f t="shared" si="29"/>
        <v>534.5</v>
      </c>
      <c r="C389" s="47">
        <f t="shared" si="30"/>
        <v>775.5</v>
      </c>
    </row>
    <row r="390" spans="1:3">
      <c r="A390" s="47" t="s">
        <v>990</v>
      </c>
      <c r="B390" s="47">
        <f t="shared" si="29"/>
        <v>985.5</v>
      </c>
      <c r="C390" s="47">
        <f t="shared" si="30"/>
        <v>964.5</v>
      </c>
    </row>
    <row r="391" spans="1:3" ht="28.5">
      <c r="A391" s="47" t="s">
        <v>394</v>
      </c>
      <c r="B391" s="47">
        <f t="shared" si="29"/>
        <v>764.5</v>
      </c>
      <c r="C391" s="47">
        <f t="shared" si="30"/>
        <v>1425</v>
      </c>
    </row>
    <row r="392" spans="1:3" ht="28.5">
      <c r="A392" s="47" t="s">
        <v>487</v>
      </c>
      <c r="B392" s="47">
        <v>0</v>
      </c>
      <c r="C392" s="47">
        <f t="shared" si="30"/>
        <v>887</v>
      </c>
    </row>
    <row r="393" spans="1:3" ht="42.75">
      <c r="A393" s="47" t="s">
        <v>488</v>
      </c>
      <c r="B393" s="47">
        <v>0</v>
      </c>
      <c r="C393" s="47">
        <f t="shared" si="30"/>
        <v>756.5</v>
      </c>
    </row>
    <row r="395" spans="1:3" ht="57">
      <c r="A395" s="152" t="s">
        <v>482</v>
      </c>
      <c r="B395" s="47" t="s">
        <v>296</v>
      </c>
      <c r="C395" s="47" t="s">
        <v>295</v>
      </c>
    </row>
    <row r="396" spans="1:3">
      <c r="A396" s="47" t="s">
        <v>391</v>
      </c>
      <c r="B396" s="47">
        <v>664</v>
      </c>
      <c r="C396" s="47">
        <v>1579</v>
      </c>
    </row>
    <row r="397" spans="1:3">
      <c r="A397" s="47" t="s">
        <v>1080</v>
      </c>
      <c r="B397" s="47">
        <v>336</v>
      </c>
      <c r="C397" s="47">
        <v>794</v>
      </c>
    </row>
    <row r="398" spans="1:3">
      <c r="A398" s="47" t="s">
        <v>392</v>
      </c>
      <c r="B398" s="47">
        <v>643</v>
      </c>
      <c r="C398" s="47">
        <v>1319</v>
      </c>
    </row>
    <row r="399" spans="1:3" ht="28.5">
      <c r="A399" s="47" t="s">
        <v>393</v>
      </c>
      <c r="B399" s="47">
        <v>523</v>
      </c>
      <c r="C399" s="47">
        <v>832</v>
      </c>
    </row>
    <row r="400" spans="1:3">
      <c r="A400" s="47" t="s">
        <v>990</v>
      </c>
      <c r="B400" s="47">
        <v>929</v>
      </c>
      <c r="C400" s="47">
        <v>1258</v>
      </c>
    </row>
    <row r="401" spans="1:3" ht="28.5">
      <c r="A401" s="47" t="s">
        <v>394</v>
      </c>
      <c r="B401" s="47">
        <f>(632+798)/2</f>
        <v>715</v>
      </c>
      <c r="C401" s="47">
        <f>(1019+2101)/2</f>
        <v>1560</v>
      </c>
    </row>
    <row r="402" spans="1:3" ht="28.5">
      <c r="A402" s="47" t="s">
        <v>487</v>
      </c>
      <c r="B402" s="47">
        <v>0</v>
      </c>
      <c r="C402" s="47">
        <f>(845+1000)/2</f>
        <v>922.5</v>
      </c>
    </row>
    <row r="403" spans="1:3" ht="42.75">
      <c r="A403" s="47" t="s">
        <v>488</v>
      </c>
      <c r="B403" s="47">
        <v>0</v>
      </c>
      <c r="C403" s="47">
        <f>(801+815)/2</f>
        <v>808</v>
      </c>
    </row>
  </sheetData>
  <phoneticPr fontId="5" type="noConversion"/>
  <pageMargins left="0.75" right="0.75" top="1" bottom="1" header="0.5" footer="0.5"/>
  <rowBreaks count="7" manualBreakCount="7">
    <brk id="43" max="27" man="1"/>
    <brk id="82" max="16383" man="1"/>
    <brk id="119" max="21" man="1"/>
    <brk id="165" max="16383" man="1"/>
    <brk id="201" max="16383" man="1"/>
    <brk id="239" max="16383" man="1"/>
    <brk id="278" max="16383" man="1"/>
  </rowBreaks>
  <colBreaks count="2" manualBreakCount="2">
    <brk id="7" max="1048575" man="1"/>
    <brk id="15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1"/>
  <sheetViews>
    <sheetView showGridLines="0" workbookViewId="0">
      <selection activeCell="E6" sqref="E6"/>
    </sheetView>
  </sheetViews>
  <sheetFormatPr defaultColWidth="10.25" defaultRowHeight="20.100000000000001" customHeight="1"/>
  <cols>
    <col min="1" max="1" width="22.625" style="1" customWidth="1"/>
    <col min="2" max="2" width="11.625" style="1" customWidth="1"/>
    <col min="3" max="3" width="10" style="1" customWidth="1"/>
    <col min="4" max="4" width="10.875" style="1" customWidth="1"/>
    <col min="5" max="5" width="10.375" style="1" customWidth="1"/>
    <col min="6" max="6" width="13" style="1" customWidth="1"/>
    <col min="7" max="8" width="10.25" style="1"/>
    <col min="9" max="9" width="13" style="1" customWidth="1"/>
    <col min="10" max="16384" width="10.25" style="1"/>
  </cols>
  <sheetData>
    <row r="1" spans="1:11" ht="14.25">
      <c r="A1" s="18" t="s">
        <v>476</v>
      </c>
      <c r="B1" s="13"/>
      <c r="C1" s="13"/>
      <c r="D1" s="13"/>
      <c r="E1" s="13"/>
      <c r="F1" s="15"/>
      <c r="G1" s="15"/>
      <c r="H1" s="15"/>
      <c r="I1" s="15"/>
      <c r="J1" s="15"/>
      <c r="K1" s="15"/>
    </row>
    <row r="2" spans="1:11" ht="14.25">
      <c r="A2" s="19" t="s">
        <v>210</v>
      </c>
      <c r="B2" s="19" t="s">
        <v>211</v>
      </c>
      <c r="C2" s="19" t="s">
        <v>211</v>
      </c>
      <c r="D2" s="19" t="s">
        <v>211</v>
      </c>
      <c r="E2" s="19" t="s">
        <v>645</v>
      </c>
      <c r="F2" s="20" t="s">
        <v>644</v>
      </c>
      <c r="G2" s="20" t="s">
        <v>644</v>
      </c>
      <c r="H2" s="20" t="s">
        <v>639</v>
      </c>
      <c r="I2" s="20" t="s">
        <v>143</v>
      </c>
      <c r="J2" s="16"/>
      <c r="K2" s="16"/>
    </row>
    <row r="3" spans="1:11" ht="51" customHeight="1">
      <c r="A3" s="21"/>
      <c r="B3" s="21" t="s">
        <v>625</v>
      </c>
      <c r="C3" s="21" t="s">
        <v>636</v>
      </c>
      <c r="D3" s="21" t="s">
        <v>477</v>
      </c>
      <c r="E3" s="21" t="s">
        <v>478</v>
      </c>
      <c r="F3" s="22" t="s">
        <v>637</v>
      </c>
      <c r="G3" s="22" t="s">
        <v>638</v>
      </c>
      <c r="H3" s="22" t="s">
        <v>640</v>
      </c>
      <c r="I3" s="22" t="s">
        <v>144</v>
      </c>
      <c r="J3" s="16"/>
      <c r="K3" s="16"/>
    </row>
    <row r="4" spans="1:11" ht="14.25">
      <c r="A4" s="33" t="s">
        <v>414</v>
      </c>
      <c r="B4" s="34">
        <v>222.76</v>
      </c>
      <c r="C4" s="34">
        <v>321.76</v>
      </c>
      <c r="D4" s="34">
        <v>132.38</v>
      </c>
      <c r="E4" s="34">
        <v>297.7</v>
      </c>
      <c r="F4" s="35">
        <v>303.07</v>
      </c>
      <c r="G4" s="35" t="s">
        <v>405</v>
      </c>
      <c r="H4" s="35">
        <v>321.64</v>
      </c>
      <c r="I4" s="16">
        <v>177.6</v>
      </c>
      <c r="J4" s="16"/>
      <c r="K4" s="16"/>
    </row>
    <row r="5" spans="1:11" ht="14.25">
      <c r="A5" s="33" t="s">
        <v>415</v>
      </c>
      <c r="B5" s="14">
        <v>216.75</v>
      </c>
      <c r="C5" s="14">
        <v>315.74</v>
      </c>
      <c r="D5" s="14">
        <v>88.1</v>
      </c>
      <c r="E5" s="14">
        <v>291.69</v>
      </c>
      <c r="F5" s="17">
        <v>297.06</v>
      </c>
      <c r="G5" s="17" t="s">
        <v>405</v>
      </c>
      <c r="H5" s="16">
        <v>316.63</v>
      </c>
      <c r="I5" s="16">
        <v>156.1</v>
      </c>
      <c r="J5" s="16"/>
      <c r="K5" s="16"/>
    </row>
    <row r="6" spans="1:11" ht="14.25">
      <c r="A6" s="33" t="s">
        <v>416</v>
      </c>
      <c r="B6" s="14">
        <v>72.34</v>
      </c>
      <c r="C6" s="14">
        <v>49.91</v>
      </c>
      <c r="D6" s="14">
        <v>236.23</v>
      </c>
      <c r="E6" s="14">
        <v>31.17</v>
      </c>
      <c r="F6" s="17">
        <v>36.54</v>
      </c>
      <c r="G6" s="17" t="s">
        <v>405</v>
      </c>
      <c r="H6" s="16">
        <v>50.18</v>
      </c>
      <c r="I6" s="16">
        <v>142</v>
      </c>
      <c r="J6" s="16"/>
      <c r="K6" s="16"/>
    </row>
    <row r="7" spans="1:11" ht="14.25">
      <c r="A7" s="28" t="s">
        <v>641</v>
      </c>
      <c r="B7" s="14">
        <v>178.1</v>
      </c>
      <c r="C7" s="14">
        <v>277.39999999999998</v>
      </c>
      <c r="D7" s="14">
        <v>143.5</v>
      </c>
      <c r="E7" s="14">
        <v>259.89999999999998</v>
      </c>
      <c r="F7" s="17">
        <v>266.39999999999998</v>
      </c>
      <c r="G7" s="17" t="s">
        <v>480</v>
      </c>
      <c r="H7" s="16">
        <v>277.2</v>
      </c>
      <c r="I7" s="16">
        <v>162</v>
      </c>
      <c r="J7" s="16"/>
      <c r="K7" s="16"/>
    </row>
    <row r="8" spans="1:11" ht="14.25">
      <c r="A8" s="28" t="s">
        <v>479</v>
      </c>
      <c r="B8" s="14">
        <v>278.7</v>
      </c>
      <c r="C8" s="14">
        <v>376.8</v>
      </c>
      <c r="D8" s="14">
        <v>120.3</v>
      </c>
      <c r="E8" s="14">
        <v>359.3</v>
      </c>
      <c r="F8" s="17">
        <v>365.8</v>
      </c>
      <c r="G8" s="17" t="s">
        <v>480</v>
      </c>
      <c r="H8" s="16">
        <v>376.5</v>
      </c>
      <c r="I8" s="16">
        <v>215.7</v>
      </c>
      <c r="J8" s="16"/>
      <c r="K8" s="16"/>
    </row>
    <row r="9" spans="1:11" ht="14.25">
      <c r="A9" s="28" t="s">
        <v>377</v>
      </c>
      <c r="B9" s="14">
        <v>98.6</v>
      </c>
      <c r="C9" s="14">
        <v>16.3</v>
      </c>
      <c r="D9" s="14">
        <v>262.8</v>
      </c>
      <c r="E9" s="14">
        <v>5.5</v>
      </c>
      <c r="F9" s="17">
        <v>2</v>
      </c>
      <c r="G9" s="17" t="s">
        <v>480</v>
      </c>
      <c r="H9" s="16">
        <v>16.5</v>
      </c>
      <c r="I9" s="16">
        <v>168.3</v>
      </c>
      <c r="J9" s="16"/>
      <c r="K9" s="16"/>
    </row>
    <row r="10" spans="1:11" ht="14.25">
      <c r="A10" s="28" t="s">
        <v>378</v>
      </c>
      <c r="B10" s="14">
        <v>62.3</v>
      </c>
      <c r="C10" s="14">
        <v>160.5</v>
      </c>
      <c r="D10" s="14">
        <v>143.69999999999999</v>
      </c>
      <c r="E10" s="14">
        <v>143</v>
      </c>
      <c r="F10" s="17">
        <v>149.4</v>
      </c>
      <c r="G10" s="17" t="s">
        <v>480</v>
      </c>
      <c r="H10" s="16">
        <v>160.19999999999999</v>
      </c>
      <c r="I10" s="16">
        <v>79.400000000000006</v>
      </c>
      <c r="J10" s="16"/>
      <c r="K10" s="16"/>
    </row>
    <row r="11" spans="1:11" ht="14.25">
      <c r="A11" s="33" t="s">
        <v>417</v>
      </c>
      <c r="B11" s="14">
        <v>214.67</v>
      </c>
      <c r="C11" s="14">
        <v>313.67</v>
      </c>
      <c r="D11" s="14">
        <v>179.62</v>
      </c>
      <c r="E11" s="14">
        <v>289.61</v>
      </c>
      <c r="F11" s="17">
        <v>294.98</v>
      </c>
      <c r="G11" s="17" t="s">
        <v>405</v>
      </c>
      <c r="H11" s="16">
        <v>313.55</v>
      </c>
      <c r="I11" s="16">
        <v>198.2</v>
      </c>
      <c r="J11" s="16"/>
      <c r="K11" s="16"/>
    </row>
    <row r="12" spans="1:11" ht="20.100000000000001" customHeight="1">
      <c r="A12" s="29" t="s">
        <v>379</v>
      </c>
      <c r="B12" s="17">
        <v>109.5</v>
      </c>
      <c r="C12" s="17">
        <v>50.4</v>
      </c>
      <c r="D12" s="17">
        <v>236</v>
      </c>
      <c r="E12" s="17">
        <v>70.8</v>
      </c>
      <c r="F12" s="17">
        <v>66.400000000000006</v>
      </c>
      <c r="G12" s="17" t="s">
        <v>380</v>
      </c>
      <c r="H12" s="16">
        <v>50.1</v>
      </c>
      <c r="I12" s="16">
        <v>173</v>
      </c>
      <c r="J12" s="16"/>
      <c r="K12" s="16"/>
    </row>
    <row r="13" spans="1:11" ht="28.5" customHeight="1">
      <c r="A13" s="29" t="s">
        <v>389</v>
      </c>
      <c r="B13" s="17">
        <v>220.2</v>
      </c>
      <c r="C13" s="17">
        <v>161.19999999999999</v>
      </c>
      <c r="D13" s="17">
        <v>346.7</v>
      </c>
      <c r="E13" s="17">
        <v>181.6</v>
      </c>
      <c r="F13" s="17">
        <v>177.1</v>
      </c>
      <c r="G13" s="17" t="s">
        <v>380</v>
      </c>
      <c r="H13" s="16">
        <v>160.9</v>
      </c>
      <c r="I13" s="16">
        <v>281.10000000000002</v>
      </c>
      <c r="J13" s="16"/>
      <c r="K13" s="16"/>
    </row>
    <row r="14" spans="1:11" ht="20.100000000000001" customHeight="1">
      <c r="A14" s="29" t="s">
        <v>266</v>
      </c>
      <c r="B14" s="17">
        <v>198.1</v>
      </c>
      <c r="C14" s="17">
        <v>296.2</v>
      </c>
      <c r="D14" s="17">
        <v>92.7</v>
      </c>
      <c r="E14" s="17">
        <v>278.7</v>
      </c>
      <c r="F14" s="17">
        <v>285.2</v>
      </c>
      <c r="G14" s="17" t="s">
        <v>480</v>
      </c>
      <c r="H14" s="16">
        <v>295.89999999999998</v>
      </c>
      <c r="I14" s="16">
        <v>149.30000000000001</v>
      </c>
      <c r="J14" s="16"/>
      <c r="K14" s="16"/>
    </row>
    <row r="15" spans="1:11" ht="34.5" customHeight="1">
      <c r="A15" s="25" t="s">
        <v>554</v>
      </c>
      <c r="B15" s="17">
        <v>110.81</v>
      </c>
      <c r="C15" s="17">
        <v>206.12</v>
      </c>
      <c r="D15" s="17">
        <v>66.75</v>
      </c>
      <c r="E15" s="17">
        <v>185.75</v>
      </c>
      <c r="F15" s="17">
        <v>191.12</v>
      </c>
      <c r="G15" s="17" t="s">
        <v>480</v>
      </c>
      <c r="H15" s="16">
        <v>206</v>
      </c>
      <c r="I15" s="16">
        <v>51.4</v>
      </c>
      <c r="J15" s="16"/>
      <c r="K15" s="16"/>
    </row>
    <row r="16" spans="1:11" ht="20.100000000000001" customHeight="1">
      <c r="A16" s="29" t="s">
        <v>267</v>
      </c>
      <c r="B16" s="17">
        <v>311.2</v>
      </c>
      <c r="C16" s="17">
        <v>409.4</v>
      </c>
      <c r="D16" s="17">
        <v>275.39999999999998</v>
      </c>
      <c r="E16" s="17">
        <v>391.8</v>
      </c>
      <c r="F16" s="17">
        <v>398.3</v>
      </c>
      <c r="G16" s="17" t="s">
        <v>480</v>
      </c>
      <c r="H16" s="16">
        <v>409.1</v>
      </c>
      <c r="I16" s="16">
        <v>293.8</v>
      </c>
      <c r="J16" s="16"/>
      <c r="K16" s="16"/>
    </row>
    <row r="17" spans="1:11" ht="20.100000000000001" customHeight="1">
      <c r="A17" s="25" t="s">
        <v>116</v>
      </c>
      <c r="B17" s="17">
        <v>96.11</v>
      </c>
      <c r="C17" s="17">
        <v>195.1</v>
      </c>
      <c r="D17" s="17">
        <v>103.44</v>
      </c>
      <c r="E17" s="17">
        <v>171.05</v>
      </c>
      <c r="F17" s="17">
        <v>176.42</v>
      </c>
      <c r="G17" s="17" t="s">
        <v>405</v>
      </c>
      <c r="H17" s="16">
        <v>194.99</v>
      </c>
      <c r="I17" s="16">
        <v>94.5</v>
      </c>
      <c r="J17" s="16"/>
      <c r="K17" s="16"/>
    </row>
    <row r="18" spans="1:11" ht="20.100000000000001" customHeight="1">
      <c r="A18" s="29" t="s">
        <v>268</v>
      </c>
      <c r="B18" s="23">
        <v>461.9</v>
      </c>
      <c r="C18" s="23">
        <v>402.9</v>
      </c>
      <c r="D18" s="23">
        <v>588.4</v>
      </c>
      <c r="E18" s="23">
        <v>423.2</v>
      </c>
      <c r="F18" s="23">
        <v>418.8</v>
      </c>
      <c r="G18" s="17" t="s">
        <v>380</v>
      </c>
      <c r="H18" s="24">
        <v>402.6</v>
      </c>
      <c r="I18" s="16">
        <v>524.20000000000005</v>
      </c>
      <c r="J18" s="16"/>
      <c r="K18" s="16"/>
    </row>
    <row r="19" spans="1:11" ht="30" customHeight="1">
      <c r="A19" s="29" t="s">
        <v>402</v>
      </c>
      <c r="B19" s="17">
        <v>315.7</v>
      </c>
      <c r="C19" s="17">
        <v>413.8</v>
      </c>
      <c r="D19" s="17">
        <v>166.6</v>
      </c>
      <c r="E19" s="17">
        <v>396.3</v>
      </c>
      <c r="F19" s="17">
        <v>402.7</v>
      </c>
      <c r="G19" s="17" t="s">
        <v>480</v>
      </c>
      <c r="H19" s="16">
        <v>413.6</v>
      </c>
      <c r="I19" s="16">
        <v>251.8</v>
      </c>
      <c r="J19" s="16"/>
      <c r="K19" s="16"/>
    </row>
    <row r="20" spans="1:11" ht="20.100000000000001" customHeight="1">
      <c r="A20" s="25" t="s">
        <v>403</v>
      </c>
      <c r="B20" s="27">
        <v>81.150000000000006</v>
      </c>
      <c r="C20" s="17">
        <v>28.59</v>
      </c>
      <c r="D20" s="17">
        <v>245.03</v>
      </c>
      <c r="E20" s="17">
        <v>9.85</v>
      </c>
      <c r="F20" s="17">
        <v>15.22</v>
      </c>
      <c r="G20" s="17" t="s">
        <v>405</v>
      </c>
      <c r="H20" s="16">
        <v>28.86</v>
      </c>
      <c r="I20" s="16">
        <v>154.69999999999999</v>
      </c>
      <c r="J20" s="16"/>
      <c r="K20" s="16"/>
    </row>
    <row r="21" spans="1:11" ht="27" customHeight="1">
      <c r="A21" s="25" t="s">
        <v>404</v>
      </c>
      <c r="B21" s="17">
        <v>123.23</v>
      </c>
      <c r="C21" s="17">
        <v>120.26</v>
      </c>
      <c r="D21" s="17">
        <v>165.79</v>
      </c>
      <c r="E21" s="17">
        <v>126.77</v>
      </c>
      <c r="F21" s="17">
        <v>132.12</v>
      </c>
      <c r="G21" s="17" t="s">
        <v>405</v>
      </c>
      <c r="H21" s="16">
        <v>120.14</v>
      </c>
      <c r="I21" s="16">
        <v>102.2</v>
      </c>
      <c r="J21" s="16"/>
      <c r="K21" s="16"/>
    </row>
    <row r="22" spans="1:11" ht="20.100000000000001" customHeight="1">
      <c r="A22" s="25" t="s">
        <v>555</v>
      </c>
      <c r="B22" s="17">
        <v>199.07</v>
      </c>
      <c r="C22" s="17">
        <v>298.06</v>
      </c>
      <c r="D22" s="17">
        <v>93.96</v>
      </c>
      <c r="E22" s="17">
        <v>274</v>
      </c>
      <c r="F22" s="17">
        <v>279.38</v>
      </c>
      <c r="G22" s="17" t="s">
        <v>405</v>
      </c>
      <c r="H22" s="16">
        <v>297.94</v>
      </c>
      <c r="I22" s="16">
        <v>154.19999999999999</v>
      </c>
      <c r="J22" s="16"/>
      <c r="K22" s="16"/>
    </row>
    <row r="23" spans="1:11" ht="26.1" customHeight="1">
      <c r="A23" s="25" t="s">
        <v>684</v>
      </c>
      <c r="B23" s="17">
        <v>32.450000000000003</v>
      </c>
      <c r="C23" s="17">
        <v>86.85</v>
      </c>
      <c r="D23" s="17">
        <v>196.33</v>
      </c>
      <c r="E23" s="17">
        <v>62.69</v>
      </c>
      <c r="F23" s="17">
        <v>68.16</v>
      </c>
      <c r="G23" s="17" t="s">
        <v>405</v>
      </c>
      <c r="H23" s="16">
        <v>86.73</v>
      </c>
      <c r="I23" s="16">
        <v>103</v>
      </c>
      <c r="J23" s="16"/>
      <c r="K23" s="16"/>
    </row>
    <row r="24" spans="1:11" ht="28.5" customHeight="1">
      <c r="A24" s="25" t="s">
        <v>685</v>
      </c>
      <c r="B24" s="17">
        <v>234.69</v>
      </c>
      <c r="C24" s="17">
        <v>333.69</v>
      </c>
      <c r="D24" s="17">
        <v>199.65</v>
      </c>
      <c r="E24" s="17">
        <v>309.63</v>
      </c>
      <c r="F24" s="17">
        <v>315</v>
      </c>
      <c r="G24" s="17" t="s">
        <v>405</v>
      </c>
      <c r="H24" s="16">
        <v>333.57</v>
      </c>
      <c r="I24" s="16">
        <v>219.7</v>
      </c>
      <c r="J24" s="16"/>
      <c r="K24" s="16"/>
    </row>
    <row r="25" spans="1:11" ht="29.1" customHeight="1">
      <c r="A25" s="25" t="s">
        <v>694</v>
      </c>
      <c r="B25" s="17">
        <v>222.5</v>
      </c>
      <c r="C25" s="17">
        <v>163.27000000000001</v>
      </c>
      <c r="D25" s="17">
        <v>348.78</v>
      </c>
      <c r="E25" s="17">
        <v>180.56</v>
      </c>
      <c r="F25" s="17">
        <v>177.76</v>
      </c>
      <c r="G25" s="17" t="s">
        <v>442</v>
      </c>
      <c r="H25" s="16">
        <v>163.15</v>
      </c>
      <c r="I25" s="16">
        <v>278</v>
      </c>
      <c r="J25" s="16"/>
      <c r="K25" s="16"/>
    </row>
    <row r="26" spans="1:11" ht="20.100000000000001" customHeight="1">
      <c r="A26" s="25" t="s">
        <v>695</v>
      </c>
      <c r="B26" s="17">
        <v>92.9</v>
      </c>
      <c r="C26" s="17">
        <v>20.9</v>
      </c>
      <c r="D26" s="17">
        <v>256.3</v>
      </c>
      <c r="E26" s="17">
        <v>0</v>
      </c>
      <c r="F26" s="17">
        <v>5.44</v>
      </c>
      <c r="G26" s="17" t="s">
        <v>405</v>
      </c>
      <c r="H26" s="16">
        <v>20.149999999999999</v>
      </c>
      <c r="I26" s="16">
        <v>162.1</v>
      </c>
      <c r="J26" s="16"/>
      <c r="K26" s="16"/>
    </row>
    <row r="27" spans="1:11" ht="20.100000000000001" customHeight="1">
      <c r="A27" s="25" t="s">
        <v>696</v>
      </c>
      <c r="B27" s="17">
        <v>184.45</v>
      </c>
      <c r="C27" s="17">
        <v>283.45</v>
      </c>
      <c r="D27" s="17">
        <v>149.49</v>
      </c>
      <c r="E27" s="17">
        <v>259.39</v>
      </c>
      <c r="F27" s="17">
        <v>264.76</v>
      </c>
      <c r="G27" s="17" t="s">
        <v>405</v>
      </c>
      <c r="H27" s="16">
        <v>283.33</v>
      </c>
      <c r="I27" s="16">
        <v>168.5</v>
      </c>
      <c r="J27" s="16"/>
      <c r="K27" s="16"/>
    </row>
    <row r="28" spans="1:11" ht="20.100000000000001" customHeight="1">
      <c r="A28" s="25" t="s">
        <v>114</v>
      </c>
      <c r="B28" s="17">
        <v>268.39</v>
      </c>
      <c r="C28" s="17">
        <v>367.39</v>
      </c>
      <c r="D28" s="17">
        <v>162.61000000000001</v>
      </c>
      <c r="E28" s="17">
        <v>343.33</v>
      </c>
      <c r="F28" s="17">
        <v>348.7</v>
      </c>
      <c r="G28" s="17" t="s">
        <v>405</v>
      </c>
      <c r="H28" s="16">
        <v>367.27</v>
      </c>
      <c r="I28" s="16">
        <v>230.3</v>
      </c>
      <c r="J28" s="16"/>
      <c r="K28" s="16"/>
    </row>
    <row r="29" spans="1:11" ht="26.1" customHeight="1">
      <c r="A29" s="25" t="s">
        <v>697</v>
      </c>
      <c r="B29" s="17">
        <v>214.49</v>
      </c>
      <c r="C29" s="17">
        <v>155.26</v>
      </c>
      <c r="D29" s="17">
        <v>313.22000000000003</v>
      </c>
      <c r="E29" s="17">
        <v>172.55</v>
      </c>
      <c r="F29" s="17">
        <v>169.75</v>
      </c>
      <c r="G29" s="17" t="s">
        <v>443</v>
      </c>
      <c r="H29" s="16">
        <v>155.13999999999999</v>
      </c>
      <c r="I29" s="16">
        <v>278.2</v>
      </c>
      <c r="J29" s="16"/>
      <c r="K29" s="16"/>
    </row>
    <row r="30" spans="1:11" ht="20.100000000000001" customHeight="1">
      <c r="A30" s="25" t="s">
        <v>698</v>
      </c>
      <c r="B30" s="17">
        <v>89.86</v>
      </c>
      <c r="C30" s="17">
        <v>16.600000000000001</v>
      </c>
      <c r="D30" s="17">
        <v>258.85000000000002</v>
      </c>
      <c r="E30" s="17">
        <v>5.67</v>
      </c>
      <c r="F30" s="17">
        <v>2</v>
      </c>
      <c r="G30" s="17" t="s">
        <v>405</v>
      </c>
      <c r="H30" s="16">
        <v>16.88</v>
      </c>
      <c r="I30" s="16">
        <v>168.3</v>
      </c>
      <c r="J30" s="16"/>
      <c r="K30" s="16"/>
    </row>
    <row r="31" spans="1:11" ht="20.100000000000001" customHeight="1">
      <c r="A31" s="25" t="s">
        <v>115</v>
      </c>
      <c r="B31" s="17">
        <v>80</v>
      </c>
      <c r="C31" s="17">
        <v>178.52</v>
      </c>
      <c r="D31" s="17">
        <v>84.71</v>
      </c>
      <c r="E31" s="17">
        <v>153.53</v>
      </c>
      <c r="F31" s="32">
        <v>158.9</v>
      </c>
      <c r="G31" s="17" t="s">
        <v>405</v>
      </c>
      <c r="H31" s="16">
        <v>178.4</v>
      </c>
      <c r="I31" s="16">
        <v>0</v>
      </c>
      <c r="J31" s="16"/>
      <c r="K31" s="16"/>
    </row>
    <row r="32" spans="1:11" ht="27.75" customHeight="1">
      <c r="A32" s="25" t="s">
        <v>699</v>
      </c>
      <c r="B32" s="17">
        <v>292.95999999999998</v>
      </c>
      <c r="C32" s="17">
        <v>361.33</v>
      </c>
      <c r="D32" s="17">
        <v>130.01</v>
      </c>
      <c r="E32" s="17">
        <v>367.9</v>
      </c>
      <c r="F32" s="17">
        <v>373.27</v>
      </c>
      <c r="G32" s="17" t="s">
        <v>405</v>
      </c>
      <c r="H32" s="16">
        <v>361.21</v>
      </c>
      <c r="I32" s="16">
        <v>207.7</v>
      </c>
      <c r="J32" s="16"/>
      <c r="K32" s="16"/>
    </row>
    <row r="33" spans="1:11" ht="29.25" customHeight="1">
      <c r="A33" s="25" t="s">
        <v>593</v>
      </c>
      <c r="B33" s="17">
        <v>2.0299999999999998</v>
      </c>
      <c r="C33" s="17">
        <v>108.19</v>
      </c>
      <c r="D33" s="17">
        <v>177.92</v>
      </c>
      <c r="E33" s="17">
        <v>84.13</v>
      </c>
      <c r="F33" s="17">
        <v>89.5</v>
      </c>
      <c r="G33" s="17" t="s">
        <v>405</v>
      </c>
      <c r="H33" s="16">
        <v>108.07</v>
      </c>
      <c r="I33" s="16">
        <v>82.2</v>
      </c>
      <c r="J33" s="16"/>
      <c r="K33" s="16"/>
    </row>
    <row r="34" spans="1:11" ht="20.100000000000001" customHeight="1">
      <c r="A34" s="25" t="s">
        <v>351</v>
      </c>
      <c r="B34" s="17">
        <v>189.94</v>
      </c>
      <c r="C34" s="17">
        <v>130.66999999999999</v>
      </c>
      <c r="D34" s="17">
        <v>278.39</v>
      </c>
      <c r="E34" s="17">
        <v>147.97</v>
      </c>
      <c r="F34" s="17">
        <v>145.16</v>
      </c>
      <c r="G34" s="17" t="s">
        <v>442</v>
      </c>
      <c r="H34" s="16">
        <v>130.55000000000001</v>
      </c>
      <c r="I34" s="16">
        <v>215.3</v>
      </c>
      <c r="J34" s="16"/>
      <c r="K34" s="16"/>
    </row>
    <row r="35" spans="1:11" ht="20.100000000000001" customHeight="1">
      <c r="A35" s="25" t="s">
        <v>346</v>
      </c>
      <c r="B35" s="17">
        <v>120.28</v>
      </c>
      <c r="C35" s="17">
        <v>219.28</v>
      </c>
      <c r="D35" s="17">
        <v>180.78</v>
      </c>
      <c r="E35" s="17">
        <v>195.22</v>
      </c>
      <c r="F35" s="17">
        <v>200.59</v>
      </c>
      <c r="G35" s="17" t="s">
        <v>405</v>
      </c>
      <c r="H35" s="16">
        <v>219.16</v>
      </c>
      <c r="I35" s="16">
        <v>152.4</v>
      </c>
      <c r="J35" s="16"/>
      <c r="K35" s="16"/>
    </row>
    <row r="36" spans="1:11" ht="20.100000000000001" customHeight="1">
      <c r="A36" s="25" t="s">
        <v>347</v>
      </c>
      <c r="B36" s="32">
        <v>449</v>
      </c>
      <c r="C36" s="32">
        <v>389.77</v>
      </c>
      <c r="D36" s="32">
        <v>575.28</v>
      </c>
      <c r="E36" s="32">
        <v>407.06</v>
      </c>
      <c r="F36" s="32">
        <v>404.26</v>
      </c>
      <c r="G36" s="17" t="s">
        <v>442</v>
      </c>
      <c r="H36" s="31">
        <v>389.65</v>
      </c>
      <c r="I36" s="16">
        <v>524.20000000000005</v>
      </c>
      <c r="J36" s="16"/>
      <c r="K36" s="16"/>
    </row>
    <row r="37" spans="1:11" ht="20.100000000000001" customHeight="1">
      <c r="A37" s="25" t="s">
        <v>348</v>
      </c>
      <c r="B37" s="17">
        <v>89.96</v>
      </c>
      <c r="C37" s="17">
        <v>16.600000000000001</v>
      </c>
      <c r="D37" s="17">
        <v>258.85000000000002</v>
      </c>
      <c r="E37" s="17">
        <v>5.67</v>
      </c>
      <c r="F37" s="17">
        <v>2</v>
      </c>
      <c r="G37" s="17" t="s">
        <v>405</v>
      </c>
      <c r="H37" s="16">
        <v>16.88</v>
      </c>
      <c r="I37" s="16">
        <v>168.3</v>
      </c>
      <c r="J37" s="16"/>
      <c r="K37" s="16"/>
    </row>
    <row r="38" spans="1:11" ht="20.100000000000001" customHeight="1">
      <c r="A38" s="25" t="s">
        <v>349</v>
      </c>
      <c r="B38" s="17">
        <v>275.05</v>
      </c>
      <c r="C38" s="17">
        <v>374.04</v>
      </c>
      <c r="D38" s="17">
        <v>210.07</v>
      </c>
      <c r="E38" s="17">
        <v>349.99</v>
      </c>
      <c r="F38" s="17">
        <v>355.36</v>
      </c>
      <c r="G38" s="17" t="s">
        <v>405</v>
      </c>
      <c r="H38" s="16">
        <v>373.93</v>
      </c>
      <c r="I38" s="16">
        <v>270.7</v>
      </c>
      <c r="J38" s="16"/>
      <c r="K38" s="16"/>
    </row>
    <row r="39" spans="1:11" ht="20.100000000000001" customHeight="1">
      <c r="A39" s="26" t="s">
        <v>1243</v>
      </c>
      <c r="B39" s="16">
        <v>145.38</v>
      </c>
      <c r="C39" s="16">
        <v>244.38</v>
      </c>
      <c r="D39" s="16">
        <v>219.16</v>
      </c>
      <c r="E39" s="16">
        <v>220.32</v>
      </c>
      <c r="F39" s="16">
        <v>225.69</v>
      </c>
      <c r="G39" s="16" t="s">
        <v>405</v>
      </c>
      <c r="H39" s="16">
        <v>244.26</v>
      </c>
      <c r="I39" s="16">
        <v>167.2</v>
      </c>
      <c r="J39" s="16"/>
      <c r="K39" s="16"/>
    </row>
    <row r="40" spans="1:11" ht="20.100000000000001" customHeight="1">
      <c r="A40" s="16" t="s">
        <v>441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ht="20.100000000000001" customHeight="1">
      <c r="A41" s="30" t="s">
        <v>406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1" ht="20.100000000000001" customHeight="1">
      <c r="A42" s="16" t="s">
        <v>217</v>
      </c>
      <c r="B42" s="16">
        <f>SUM(B4:B39)</f>
        <v>6555.5199999999986</v>
      </c>
      <c r="C42" s="16">
        <f>SUM(C4:C39)</f>
        <v>7864.3000000000011</v>
      </c>
      <c r="D42" s="16">
        <f>SUM(D4:D39)</f>
        <v>7687.8000000000011</v>
      </c>
      <c r="E42" s="16">
        <f>SUM(E4:E39)</f>
        <v>7453.3000000000011</v>
      </c>
      <c r="F42" s="16">
        <f>SUM(F4:F39)</f>
        <v>7564.3099999999977</v>
      </c>
      <c r="G42" s="16" t="s">
        <v>405</v>
      </c>
      <c r="H42" s="16">
        <f>SUM(H4:H39)</f>
        <v>7860.8599999999979</v>
      </c>
      <c r="I42" s="16">
        <f>SUM(I4:I39)</f>
        <v>6925.5999999999995</v>
      </c>
      <c r="J42" s="16"/>
      <c r="K42" s="16"/>
    </row>
    <row r="43" spans="1:11" ht="20.100000000000001" customHeight="1">
      <c r="A43" s="16" t="s">
        <v>409</v>
      </c>
      <c r="B43" s="16">
        <v>36</v>
      </c>
      <c r="C43" s="16">
        <v>36</v>
      </c>
      <c r="D43" s="16">
        <v>36</v>
      </c>
      <c r="E43" s="16">
        <v>36</v>
      </c>
      <c r="F43" s="16">
        <v>36</v>
      </c>
      <c r="G43" s="16" t="s">
        <v>405</v>
      </c>
      <c r="H43" s="16">
        <v>36</v>
      </c>
      <c r="I43" s="16">
        <v>36</v>
      </c>
      <c r="J43" s="16"/>
      <c r="K43" s="16"/>
    </row>
    <row r="44" spans="1:11" ht="20.100000000000001" customHeight="1">
      <c r="A44" s="16" t="s">
        <v>410</v>
      </c>
      <c r="B44" s="42">
        <f>(B42/B43)</f>
        <v>182.09777777777774</v>
      </c>
      <c r="C44" s="42">
        <f t="shared" ref="C44:I44" si="0">(C42/C43)</f>
        <v>218.45277777777781</v>
      </c>
      <c r="D44" s="42">
        <f t="shared" si="0"/>
        <v>213.55000000000004</v>
      </c>
      <c r="E44" s="42">
        <f t="shared" si="0"/>
        <v>207.03611111111115</v>
      </c>
      <c r="F44" s="42">
        <f t="shared" si="0"/>
        <v>210.11972222222215</v>
      </c>
      <c r="G44" s="16" t="s">
        <v>405</v>
      </c>
      <c r="H44" s="42">
        <f t="shared" si="0"/>
        <v>218.35722222222216</v>
      </c>
      <c r="I44" s="42">
        <f t="shared" si="0"/>
        <v>192.37777777777777</v>
      </c>
      <c r="J44" s="16"/>
      <c r="K44" s="16"/>
    </row>
    <row r="45" spans="1:11" ht="20.100000000000001" customHeight="1">
      <c r="A45" s="16" t="s">
        <v>411</v>
      </c>
      <c r="B45" s="42">
        <f>AVERAGE(B4:B39)</f>
        <v>182.09777777777774</v>
      </c>
      <c r="C45" s="42">
        <f t="shared" ref="C45:H45" si="1">AVERAGE(C4:C39)</f>
        <v>218.45277777777781</v>
      </c>
      <c r="D45" s="42">
        <f t="shared" si="1"/>
        <v>213.55000000000004</v>
      </c>
      <c r="E45" s="42">
        <f>AVERAGE(E4:E39)</f>
        <v>207.03611111111115</v>
      </c>
      <c r="F45" s="42">
        <f t="shared" si="1"/>
        <v>210.11972222222215</v>
      </c>
      <c r="G45" s="16" t="s">
        <v>405</v>
      </c>
      <c r="H45" s="42">
        <f t="shared" si="1"/>
        <v>218.35722222222216</v>
      </c>
      <c r="I45" s="42">
        <f>AVERAGE(I4:I39)</f>
        <v>192.37777777777777</v>
      </c>
      <c r="J45" s="16"/>
      <c r="K45" s="16"/>
    </row>
    <row r="46" spans="1:11" ht="20.100000000000001" customHeight="1">
      <c r="A46" s="16" t="s">
        <v>412</v>
      </c>
      <c r="B46" s="42">
        <f>(B45+C45+D45+E45+F45+H45+I45)/7</f>
        <v>205.99876984126985</v>
      </c>
      <c r="C46" s="16"/>
      <c r="D46" s="16"/>
      <c r="E46" s="16"/>
      <c r="F46" s="16"/>
      <c r="G46" s="16"/>
      <c r="H46" s="16"/>
      <c r="I46" s="16"/>
      <c r="J46" s="16"/>
      <c r="K46" s="16"/>
    </row>
    <row r="47" spans="1:11" ht="20.100000000000001" customHeight="1">
      <c r="A47" s="16" t="s">
        <v>413</v>
      </c>
      <c r="B47" s="16"/>
      <c r="C47" s="42">
        <f>(B45+C45+D45)/3</f>
        <v>204.70018518518521</v>
      </c>
      <c r="D47" s="16"/>
      <c r="E47" s="16"/>
      <c r="F47" s="16"/>
      <c r="G47" s="16"/>
      <c r="H47" s="16"/>
      <c r="I47" s="16"/>
      <c r="J47" s="16"/>
      <c r="K47" s="16"/>
    </row>
    <row r="48" spans="1:11" ht="20.100000000000001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 ht="20.100000000000001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 ht="20.100000000000001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 ht="20.100000000000001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 ht="20.100000000000001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1" ht="20.100000000000001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1:11" ht="20.100000000000001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1:11" ht="20.100000000000001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 ht="20.100000000000001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ht="20.100000000000001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ht="20.100000000000001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1:11" ht="20.100000000000001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1:11" ht="20.100000000000001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1:11" ht="20.100000000000001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1:11" ht="20.100000000000001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1:11" ht="20.100000000000001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1:11" ht="20.100000000000001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11" ht="20.100000000000001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11" ht="20.100000000000001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1" ht="20.100000000000001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ht="20.100000000000001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1" ht="20.100000000000001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1" ht="20.100000000000001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11" ht="20.100000000000001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</row>
  </sheetData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9"/>
  <sheetViews>
    <sheetView showGridLines="0" workbookViewId="0">
      <selection activeCell="I13" sqref="I13"/>
    </sheetView>
  </sheetViews>
  <sheetFormatPr defaultColWidth="10.25" defaultRowHeight="20.100000000000001" customHeight="1"/>
  <cols>
    <col min="1" max="1" width="12.625" style="1" customWidth="1"/>
    <col min="2" max="2" width="11.375" style="1" customWidth="1"/>
    <col min="3" max="3" width="10.25" style="1" customWidth="1"/>
    <col min="4" max="4" width="11.125" style="1" customWidth="1"/>
    <col min="5" max="5" width="14.625" style="1" customWidth="1"/>
    <col min="6" max="6" width="12.375" style="1" customWidth="1"/>
    <col min="7" max="8" width="10.25" style="1"/>
    <col min="9" max="9" width="11.375" style="1" bestFit="1" customWidth="1"/>
    <col min="10" max="16384" width="10.25" style="1"/>
  </cols>
  <sheetData>
    <row r="1" spans="1:12" ht="38.25">
      <c r="A1" s="21" t="s">
        <v>19</v>
      </c>
      <c r="B1" s="34"/>
      <c r="C1" s="34"/>
      <c r="D1" s="34"/>
      <c r="E1" s="34"/>
      <c r="F1" s="36"/>
      <c r="G1" s="36"/>
      <c r="H1" s="36"/>
      <c r="I1" s="36"/>
      <c r="J1" s="36"/>
      <c r="K1" s="36"/>
      <c r="L1" s="36"/>
    </row>
    <row r="2" spans="1:12" ht="43.5" customHeight="1">
      <c r="A2" s="34"/>
      <c r="B2" s="40" t="s">
        <v>379</v>
      </c>
      <c r="C2" s="40" t="s">
        <v>389</v>
      </c>
      <c r="D2" s="40" t="s">
        <v>268</v>
      </c>
      <c r="E2" s="40" t="s">
        <v>322</v>
      </c>
      <c r="F2" s="40" t="s">
        <v>536</v>
      </c>
      <c r="G2" s="40" t="s">
        <v>537</v>
      </c>
      <c r="H2" s="41" t="s">
        <v>646</v>
      </c>
      <c r="I2" s="41" t="s">
        <v>539</v>
      </c>
      <c r="J2" s="36"/>
      <c r="K2" s="36"/>
      <c r="L2" s="36"/>
    </row>
    <row r="3" spans="1:12" ht="30" customHeight="1">
      <c r="A3" s="40" t="s">
        <v>379</v>
      </c>
      <c r="B3" s="38">
        <v>0</v>
      </c>
      <c r="C3" s="38">
        <v>115.4</v>
      </c>
      <c r="D3" s="38">
        <v>357.1</v>
      </c>
      <c r="E3" s="38">
        <v>109.6</v>
      </c>
      <c r="F3" s="39">
        <v>110.1</v>
      </c>
      <c r="G3" s="39">
        <v>113.9</v>
      </c>
      <c r="H3" s="39">
        <f t="shared" ref="H3:H8" si="0">SUM(B3:G3)</f>
        <v>806.1</v>
      </c>
      <c r="I3" s="39">
        <f t="shared" ref="I3:I8" si="1">H3/5</f>
        <v>161.22</v>
      </c>
      <c r="J3" s="36"/>
      <c r="K3" s="36"/>
      <c r="L3" s="36"/>
    </row>
    <row r="4" spans="1:12" ht="27" customHeight="1">
      <c r="A4" s="40" t="s">
        <v>389</v>
      </c>
      <c r="B4" s="38">
        <v>115.4</v>
      </c>
      <c r="C4" s="38">
        <v>0</v>
      </c>
      <c r="D4" s="38">
        <v>266.60000000000002</v>
      </c>
      <c r="E4" s="38">
        <v>53.7</v>
      </c>
      <c r="F4" s="39">
        <v>72.900000000000006</v>
      </c>
      <c r="G4" s="39">
        <v>112.5</v>
      </c>
      <c r="H4" s="39">
        <f t="shared" si="0"/>
        <v>621.1</v>
      </c>
      <c r="I4" s="39">
        <f t="shared" si="1"/>
        <v>124.22</v>
      </c>
      <c r="J4" s="36"/>
      <c r="K4" s="36"/>
      <c r="L4" s="36"/>
    </row>
    <row r="5" spans="1:12" ht="39.75" customHeight="1">
      <c r="A5" s="40" t="s">
        <v>435</v>
      </c>
      <c r="B5" s="38">
        <v>357.1</v>
      </c>
      <c r="C5" s="38">
        <v>266.60000000000002</v>
      </c>
      <c r="D5" s="38">
        <v>0</v>
      </c>
      <c r="E5" s="38">
        <v>312.8</v>
      </c>
      <c r="F5" s="39">
        <v>262.3</v>
      </c>
      <c r="G5" s="39">
        <v>312.39999999999998</v>
      </c>
      <c r="H5" s="39">
        <f t="shared" si="0"/>
        <v>1511.1999999999998</v>
      </c>
      <c r="I5" s="39">
        <f t="shared" si="1"/>
        <v>302.23999999999995</v>
      </c>
      <c r="J5" s="36"/>
      <c r="K5" s="36"/>
      <c r="L5" s="36"/>
    </row>
    <row r="6" spans="1:12" ht="39.75" customHeight="1">
      <c r="A6" s="40" t="s">
        <v>322</v>
      </c>
      <c r="B6" s="38">
        <v>109.6</v>
      </c>
      <c r="C6" s="38">
        <v>53.7</v>
      </c>
      <c r="D6" s="38">
        <v>312.8</v>
      </c>
      <c r="E6" s="38">
        <v>0</v>
      </c>
      <c r="F6" s="39">
        <v>80.599999999999994</v>
      </c>
      <c r="G6" s="39">
        <v>120.2</v>
      </c>
      <c r="H6" s="39">
        <f t="shared" si="0"/>
        <v>676.90000000000009</v>
      </c>
      <c r="I6" s="39">
        <f t="shared" si="1"/>
        <v>135.38000000000002</v>
      </c>
      <c r="J6" s="36"/>
      <c r="K6" s="36"/>
      <c r="L6" s="36"/>
    </row>
    <row r="7" spans="1:12" ht="38.25">
      <c r="A7" s="40" t="s">
        <v>536</v>
      </c>
      <c r="B7" s="38">
        <v>110.1</v>
      </c>
      <c r="C7" s="38">
        <v>72.900000000000006</v>
      </c>
      <c r="D7" s="38">
        <v>262.3</v>
      </c>
      <c r="E7" s="38">
        <v>80.599999999999994</v>
      </c>
      <c r="F7" s="39">
        <v>0</v>
      </c>
      <c r="G7" s="39">
        <v>53.1</v>
      </c>
      <c r="H7" s="39">
        <f t="shared" si="0"/>
        <v>579</v>
      </c>
      <c r="I7" s="39">
        <f t="shared" si="1"/>
        <v>115.8</v>
      </c>
      <c r="J7" s="36"/>
      <c r="K7" s="36"/>
      <c r="L7" s="36"/>
    </row>
    <row r="8" spans="1:12" ht="25.5">
      <c r="A8" s="40" t="s">
        <v>537</v>
      </c>
      <c r="B8" s="38">
        <v>113.9</v>
      </c>
      <c r="C8" s="38">
        <v>112.5</v>
      </c>
      <c r="D8" s="38">
        <v>312.39999999999998</v>
      </c>
      <c r="E8" s="38">
        <v>120.2</v>
      </c>
      <c r="F8" s="39">
        <v>53.1</v>
      </c>
      <c r="G8" s="39">
        <v>0</v>
      </c>
      <c r="H8" s="39">
        <f t="shared" si="0"/>
        <v>712.1</v>
      </c>
      <c r="I8" s="39">
        <f t="shared" si="1"/>
        <v>142.42000000000002</v>
      </c>
      <c r="J8" s="36"/>
      <c r="K8" s="36"/>
      <c r="L8" s="36"/>
    </row>
    <row r="9" spans="1:12" ht="14.25">
      <c r="A9" s="40" t="s">
        <v>538</v>
      </c>
      <c r="B9" s="38">
        <f t="shared" ref="B9:G9" si="2">SUM(B3:B8)</f>
        <v>806.1</v>
      </c>
      <c r="C9" s="38">
        <f t="shared" si="2"/>
        <v>621.1</v>
      </c>
      <c r="D9" s="38">
        <f t="shared" si="2"/>
        <v>1511.1999999999998</v>
      </c>
      <c r="E9" s="38">
        <f t="shared" si="2"/>
        <v>676.90000000000009</v>
      </c>
      <c r="F9" s="38">
        <f t="shared" si="2"/>
        <v>579</v>
      </c>
      <c r="G9" s="38">
        <f t="shared" si="2"/>
        <v>712.1</v>
      </c>
      <c r="H9" s="39"/>
      <c r="I9" s="39"/>
      <c r="J9" s="36"/>
      <c r="K9" s="36"/>
      <c r="L9" s="36"/>
    </row>
    <row r="10" spans="1:12" ht="20.100000000000001" customHeight="1">
      <c r="A10" s="41" t="s">
        <v>539</v>
      </c>
      <c r="B10" s="39">
        <f t="shared" ref="B10:G10" si="3">B9/5</f>
        <v>161.22</v>
      </c>
      <c r="C10" s="39">
        <f t="shared" si="3"/>
        <v>124.22</v>
      </c>
      <c r="D10" s="39">
        <f t="shared" si="3"/>
        <v>302.23999999999995</v>
      </c>
      <c r="E10" s="39">
        <f t="shared" si="3"/>
        <v>135.38000000000002</v>
      </c>
      <c r="F10" s="39">
        <f t="shared" si="3"/>
        <v>115.8</v>
      </c>
      <c r="G10" s="39">
        <f t="shared" si="3"/>
        <v>142.42000000000002</v>
      </c>
      <c r="H10" s="39"/>
      <c r="I10" s="39">
        <f>AVERAGE(B10:H10)</f>
        <v>163.54666666666665</v>
      </c>
      <c r="J10" s="41" t="s">
        <v>539</v>
      </c>
      <c r="K10" s="36"/>
      <c r="L10" s="36"/>
    </row>
    <row r="11" spans="1:12" ht="20.100000000000001" customHeight="1">
      <c r="A11" s="36"/>
      <c r="B11" s="39">
        <f>AVERAGE(B4:B8)</f>
        <v>161.22</v>
      </c>
      <c r="C11" s="36"/>
      <c r="D11" s="36"/>
      <c r="E11" s="36"/>
      <c r="F11" s="36"/>
      <c r="G11" s="36"/>
      <c r="H11" s="36"/>
      <c r="I11" s="39">
        <f>MEDIAN(B10:G10)</f>
        <v>138.90000000000003</v>
      </c>
      <c r="J11" s="41" t="s">
        <v>540</v>
      </c>
      <c r="K11" s="36"/>
      <c r="L11" s="36"/>
    </row>
    <row r="12" spans="1:12" ht="29.25" customHeight="1">
      <c r="A12" s="36"/>
      <c r="B12" s="36"/>
      <c r="C12" s="36"/>
      <c r="D12" s="36"/>
      <c r="E12" s="36"/>
      <c r="F12" s="36"/>
      <c r="G12" s="36"/>
      <c r="H12" s="36"/>
      <c r="I12" s="37">
        <f>STDEV(B10:G10)</f>
        <v>69.724145220050275</v>
      </c>
      <c r="J12" s="41" t="s">
        <v>541</v>
      </c>
      <c r="K12" s="36"/>
      <c r="L12" s="36"/>
    </row>
    <row r="13" spans="1:12" ht="20.100000000000001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ht="20.100000000000001" customHeight="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ht="20.100000000000001" customHeigh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ht="20.100000000000001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ht="20.100000000000001" customHeight="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1:12" ht="20.100000000000001" customHeight="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</row>
    <row r="19" spans="1:12" ht="20.100000000000001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2" ht="20.100000000000001" customHeight="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1:12" ht="20.100000000000001" customHeight="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12" ht="20.100000000000001" customHeight="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</row>
    <row r="23" spans="1:12" ht="20.100000000000001" customHeight="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</row>
    <row r="24" spans="1:12" ht="20.100000000000001" customHeigh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</row>
    <row r="25" spans="1:12" ht="20.100000000000001" customHeight="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</row>
    <row r="26" spans="1:12" ht="20.100000000000001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1:12" ht="20.100000000000001" customHeight="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spans="1:12" ht="20.100000000000001" customHeight="1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</row>
    <row r="29" spans="1:12" ht="20.100000000000001" customHeight="1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</row>
  </sheetData>
  <phoneticPr fontId="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49"/>
  <sheetViews>
    <sheetView topLeftCell="A88" zoomScale="60" zoomScaleNormal="50" zoomScalePageLayoutView="50" workbookViewId="0">
      <selection activeCell="P55" sqref="P55"/>
    </sheetView>
  </sheetViews>
  <sheetFormatPr defaultColWidth="11" defaultRowHeight="14.25"/>
  <cols>
    <col min="1" max="1" width="21.25" customWidth="1"/>
    <col min="2" max="2" width="8.75" customWidth="1"/>
    <col min="3" max="3" width="9.125" customWidth="1"/>
    <col min="4" max="4" width="8.375" customWidth="1"/>
    <col min="5" max="5" width="9.125" customWidth="1"/>
    <col min="6" max="6" width="8.375" customWidth="1"/>
    <col min="7" max="8" width="6.125" customWidth="1"/>
    <col min="9" max="9" width="5.25" customWidth="1"/>
    <col min="10" max="10" width="6.375" customWidth="1"/>
    <col min="11" max="11" width="5.875" customWidth="1"/>
    <col min="12" max="12" width="5.75" customWidth="1"/>
    <col min="13" max="13" width="5.875" customWidth="1"/>
    <col min="14" max="14" width="12.125" customWidth="1"/>
  </cols>
  <sheetData>
    <row r="1" spans="1:14">
      <c r="A1" t="s">
        <v>397</v>
      </c>
    </row>
    <row r="2" spans="1:14">
      <c r="A2" t="s">
        <v>700</v>
      </c>
    </row>
    <row r="3" spans="1:14">
      <c r="A3" s="44" t="s">
        <v>398</v>
      </c>
      <c r="B3" s="43" t="s">
        <v>588</v>
      </c>
      <c r="C3" s="43" t="s">
        <v>399</v>
      </c>
      <c r="D3" s="43" t="s">
        <v>400</v>
      </c>
      <c r="E3" s="43" t="s">
        <v>589</v>
      </c>
      <c r="F3" s="43" t="s">
        <v>401</v>
      </c>
      <c r="G3" s="43" t="s">
        <v>524</v>
      </c>
      <c r="H3" s="43" t="s">
        <v>525</v>
      </c>
      <c r="I3" s="43" t="s">
        <v>590</v>
      </c>
      <c r="J3" s="43" t="s">
        <v>526</v>
      </c>
      <c r="K3" s="43" t="s">
        <v>527</v>
      </c>
      <c r="L3" s="43" t="s">
        <v>591</v>
      </c>
      <c r="M3" s="43" t="s">
        <v>592</v>
      </c>
      <c r="N3" s="44" t="s">
        <v>528</v>
      </c>
    </row>
    <row r="4" spans="1:14">
      <c r="A4" s="44">
        <v>2006</v>
      </c>
      <c r="B4" s="46">
        <v>93.5</v>
      </c>
      <c r="C4" s="46">
        <v>94.1</v>
      </c>
      <c r="D4" s="46">
        <v>94.3</v>
      </c>
      <c r="E4" s="46">
        <v>97.8</v>
      </c>
      <c r="F4" s="46">
        <v>99</v>
      </c>
      <c r="G4" s="46">
        <v>98.1</v>
      </c>
      <c r="H4" s="46">
        <v>99.1</v>
      </c>
      <c r="I4" s="46">
        <v>99.5</v>
      </c>
      <c r="J4" s="46">
        <v>95</v>
      </c>
      <c r="K4" s="46">
        <v>92.1</v>
      </c>
      <c r="L4" s="46">
        <v>91.6</v>
      </c>
      <c r="M4" s="46">
        <v>93.7</v>
      </c>
      <c r="N4" s="45">
        <f>AVERAGE(B4:M4)</f>
        <v>95.649999999999991</v>
      </c>
    </row>
    <row r="5" spans="1:14">
      <c r="A5" s="44">
        <v>2007</v>
      </c>
      <c r="B5" s="46">
        <v>92.1</v>
      </c>
      <c r="C5" s="46">
        <v>90.9</v>
      </c>
      <c r="D5" s="46">
        <v>92.7</v>
      </c>
      <c r="E5" s="46">
        <v>95.1</v>
      </c>
      <c r="F5" s="46">
        <v>96.8</v>
      </c>
      <c r="G5" s="46">
        <v>97.4</v>
      </c>
      <c r="H5" s="46">
        <v>97.2</v>
      </c>
      <c r="I5" s="46">
        <v>97</v>
      </c>
      <c r="J5" s="46">
        <v>96.9</v>
      </c>
      <c r="K5" s="46">
        <v>99.8</v>
      </c>
      <c r="L5" s="46">
        <v>105.4</v>
      </c>
      <c r="M5" s="46">
        <v>108</v>
      </c>
      <c r="N5" s="45">
        <f t="shared" ref="N5:N11" si="0">AVERAGE(B5:M5)</f>
        <v>97.441666666666663</v>
      </c>
    </row>
    <row r="6" spans="1:14">
      <c r="A6" s="44">
        <v>2008</v>
      </c>
      <c r="B6" s="46">
        <v>109.2</v>
      </c>
      <c r="C6" s="46">
        <v>109.3</v>
      </c>
      <c r="D6" s="46">
        <v>114.3</v>
      </c>
      <c r="E6" s="46">
        <v>117.4</v>
      </c>
      <c r="F6" s="46">
        <v>124.2</v>
      </c>
      <c r="G6" s="46">
        <v>131.6</v>
      </c>
      <c r="H6" s="46">
        <v>133.1</v>
      </c>
      <c r="I6" s="46">
        <v>125.6</v>
      </c>
      <c r="J6" s="46">
        <v>124.3</v>
      </c>
      <c r="K6" s="46">
        <v>117.7</v>
      </c>
      <c r="L6" s="46">
        <v>108.8</v>
      </c>
      <c r="M6" s="46">
        <v>101.9</v>
      </c>
      <c r="N6" s="45">
        <f t="shared" si="0"/>
        <v>118.11666666666669</v>
      </c>
    </row>
    <row r="7" spans="1:14">
      <c r="A7" s="44">
        <v>2009</v>
      </c>
      <c r="B7" s="46">
        <v>98.7</v>
      </c>
      <c r="C7" s="46">
        <v>100.8</v>
      </c>
      <c r="D7" s="46">
        <v>99.8</v>
      </c>
      <c r="E7" s="46">
        <v>102.7</v>
      </c>
      <c r="F7" s="46">
        <v>103.5</v>
      </c>
      <c r="G7" s="46">
        <v>104.8</v>
      </c>
      <c r="H7" s="46">
        <v>104.1</v>
      </c>
      <c r="I7" s="46">
        <v>105</v>
      </c>
      <c r="J7" s="46">
        <v>107.1</v>
      </c>
      <c r="K7" s="46">
        <v>106.2</v>
      </c>
      <c r="L7" s="46">
        <v>110</v>
      </c>
      <c r="M7" s="46">
        <v>109.9</v>
      </c>
      <c r="N7" s="45">
        <f t="shared" si="0"/>
        <v>104.38333333333334</v>
      </c>
    </row>
    <row r="8" spans="1:14">
      <c r="A8" s="44">
        <v>2010</v>
      </c>
      <c r="B8" s="46">
        <v>113.7</v>
      </c>
      <c r="C8" s="46">
        <v>113.8</v>
      </c>
      <c r="D8" s="46">
        <v>116.9</v>
      </c>
      <c r="E8" s="46">
        <v>121.6</v>
      </c>
      <c r="F8" s="46">
        <v>122.9</v>
      </c>
      <c r="G8" s="46">
        <v>120.5</v>
      </c>
      <c r="H8" s="46">
        <v>119.9</v>
      </c>
      <c r="I8" s="46">
        <v>119.2</v>
      </c>
      <c r="J8" s="46">
        <v>118</v>
      </c>
      <c r="K8" s="46">
        <v>121.3</v>
      </c>
      <c r="L8" s="46">
        <v>123</v>
      </c>
      <c r="M8" s="46">
        <v>126.2</v>
      </c>
      <c r="N8" s="45">
        <f t="shared" si="0"/>
        <v>119.75</v>
      </c>
    </row>
    <row r="9" spans="1:14">
      <c r="A9" s="44">
        <v>2011</v>
      </c>
      <c r="B9" s="46">
        <v>132.80000000000001</v>
      </c>
      <c r="C9" s="46">
        <v>134</v>
      </c>
      <c r="D9" s="46">
        <v>139</v>
      </c>
      <c r="E9" s="46">
        <v>142</v>
      </c>
      <c r="F9" s="46">
        <v>141.5</v>
      </c>
      <c r="G9" s="46"/>
      <c r="H9" s="46"/>
      <c r="I9" s="46"/>
      <c r="J9" s="46"/>
      <c r="K9" s="46"/>
      <c r="L9" s="46"/>
      <c r="M9" s="46"/>
      <c r="N9" s="45">
        <f t="shared" si="0"/>
        <v>137.85999999999999</v>
      </c>
    </row>
    <row r="10" spans="1:14">
      <c r="A10" s="44">
        <v>2012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5" t="e">
        <f t="shared" si="0"/>
        <v>#DIV/0!</v>
      </c>
    </row>
    <row r="11" spans="1:14">
      <c r="A11" s="44">
        <v>2013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5" t="e">
        <f t="shared" si="0"/>
        <v>#DIV/0!</v>
      </c>
    </row>
    <row r="14" spans="1:14">
      <c r="A14" t="s">
        <v>219</v>
      </c>
    </row>
    <row r="15" spans="1:14">
      <c r="A15" t="s">
        <v>220</v>
      </c>
    </row>
    <row r="16" spans="1:14">
      <c r="A16" t="s">
        <v>221</v>
      </c>
      <c r="B16" t="s">
        <v>222</v>
      </c>
      <c r="E16" t="s">
        <v>223</v>
      </c>
      <c r="G16" t="s">
        <v>224</v>
      </c>
      <c r="H16" t="s">
        <v>225</v>
      </c>
      <c r="I16" t="s">
        <v>226</v>
      </c>
    </row>
    <row r="17" spans="2:9">
      <c r="B17" t="s">
        <v>227</v>
      </c>
      <c r="E17" t="s">
        <v>227</v>
      </c>
      <c r="G17" t="s">
        <v>227</v>
      </c>
      <c r="I17" t="s">
        <v>227</v>
      </c>
    </row>
    <row r="18" spans="2:9">
      <c r="B18">
        <v>8100</v>
      </c>
      <c r="E18">
        <v>6700</v>
      </c>
      <c r="G18">
        <v>8100</v>
      </c>
      <c r="I18">
        <v>4500</v>
      </c>
    </row>
    <row r="19" spans="2:9">
      <c r="B19">
        <v>6700</v>
      </c>
      <c r="E19">
        <v>6500</v>
      </c>
      <c r="G19">
        <v>5600</v>
      </c>
      <c r="I19">
        <v>4100</v>
      </c>
    </row>
    <row r="20" spans="2:9">
      <c r="B20">
        <v>6500</v>
      </c>
      <c r="E20">
        <v>5900</v>
      </c>
      <c r="G20">
        <v>5200</v>
      </c>
      <c r="I20">
        <v>3000</v>
      </c>
    </row>
    <row r="21" spans="2:9">
      <c r="B21">
        <v>5900</v>
      </c>
      <c r="E21">
        <v>4400</v>
      </c>
      <c r="G21">
        <v>5100</v>
      </c>
      <c r="I21">
        <v>3000</v>
      </c>
    </row>
    <row r="22" spans="2:9">
      <c r="B22">
        <v>5600</v>
      </c>
      <c r="E22">
        <v>4200</v>
      </c>
      <c r="G22">
        <v>4800</v>
      </c>
      <c r="I22">
        <v>2600</v>
      </c>
    </row>
    <row r="23" spans="2:9">
      <c r="B23">
        <v>5200</v>
      </c>
      <c r="E23">
        <v>4100</v>
      </c>
      <c r="G23">
        <v>4000</v>
      </c>
      <c r="I23">
        <v>2600</v>
      </c>
    </row>
    <row r="24" spans="2:9">
      <c r="B24">
        <v>5100</v>
      </c>
      <c r="E24">
        <v>4100</v>
      </c>
      <c r="G24">
        <v>3200</v>
      </c>
      <c r="I24">
        <v>2600</v>
      </c>
    </row>
    <row r="25" spans="2:9">
      <c r="B25">
        <v>4800</v>
      </c>
      <c r="E25">
        <v>3900</v>
      </c>
      <c r="G25">
        <v>3200</v>
      </c>
      <c r="I25">
        <v>2300</v>
      </c>
    </row>
    <row r="26" spans="2:9">
      <c r="B26">
        <v>4500</v>
      </c>
      <c r="E26">
        <v>3800</v>
      </c>
      <c r="G26">
        <v>3200</v>
      </c>
      <c r="I26">
        <v>1700</v>
      </c>
    </row>
    <row r="27" spans="2:9">
      <c r="B27">
        <v>4400</v>
      </c>
      <c r="E27">
        <v>3100</v>
      </c>
      <c r="G27">
        <v>2900</v>
      </c>
      <c r="H27" t="s">
        <v>228</v>
      </c>
      <c r="I27">
        <v>2933.333333</v>
      </c>
    </row>
    <row r="28" spans="2:9">
      <c r="B28">
        <v>4200</v>
      </c>
      <c r="E28">
        <v>2800</v>
      </c>
      <c r="G28">
        <v>2700</v>
      </c>
      <c r="H28" t="s">
        <v>229</v>
      </c>
      <c r="I28">
        <v>871.77978870000004</v>
      </c>
    </row>
    <row r="29" spans="2:9">
      <c r="B29">
        <v>4100</v>
      </c>
      <c r="E29">
        <v>2500</v>
      </c>
      <c r="G29">
        <v>2600</v>
      </c>
    </row>
    <row r="30" spans="2:9">
      <c r="B30">
        <v>4100</v>
      </c>
      <c r="D30" t="s">
        <v>228</v>
      </c>
      <c r="E30">
        <v>4333.3333329999996</v>
      </c>
      <c r="G30">
        <v>2600</v>
      </c>
    </row>
    <row r="31" spans="2:9">
      <c r="B31">
        <v>4000</v>
      </c>
      <c r="D31" t="s">
        <v>229</v>
      </c>
      <c r="E31">
        <v>1368.0333149999999</v>
      </c>
      <c r="G31">
        <v>2600</v>
      </c>
    </row>
    <row r="32" spans="2:9">
      <c r="B32">
        <v>3900</v>
      </c>
      <c r="G32">
        <v>2300</v>
      </c>
    </row>
    <row r="33" spans="2:7">
      <c r="B33">
        <v>3800</v>
      </c>
      <c r="F33" t="s">
        <v>228</v>
      </c>
      <c r="G33">
        <v>3873.333333</v>
      </c>
    </row>
    <row r="34" spans="2:7">
      <c r="B34">
        <v>3200</v>
      </c>
      <c r="F34" t="s">
        <v>229</v>
      </c>
      <c r="G34">
        <v>1603.775308</v>
      </c>
    </row>
    <row r="35" spans="2:7">
      <c r="B35">
        <v>3200</v>
      </c>
    </row>
    <row r="36" spans="2:7">
      <c r="B36">
        <v>3200</v>
      </c>
    </row>
    <row r="37" spans="2:7">
      <c r="B37">
        <v>3100</v>
      </c>
    </row>
    <row r="38" spans="2:7">
      <c r="B38">
        <v>3000</v>
      </c>
    </row>
    <row r="39" spans="2:7">
      <c r="B39">
        <v>3000</v>
      </c>
    </row>
    <row r="40" spans="2:7">
      <c r="B40">
        <v>3000</v>
      </c>
    </row>
    <row r="41" spans="2:7">
      <c r="B41">
        <v>3000</v>
      </c>
    </row>
    <row r="42" spans="2:7">
      <c r="B42">
        <v>2900</v>
      </c>
    </row>
    <row r="43" spans="2:7">
      <c r="B43">
        <v>2800</v>
      </c>
    </row>
    <row r="44" spans="2:7">
      <c r="B44">
        <v>2700</v>
      </c>
    </row>
    <row r="45" spans="2:7">
      <c r="B45">
        <v>2600</v>
      </c>
    </row>
    <row r="46" spans="2:7">
      <c r="B46">
        <v>2600</v>
      </c>
    </row>
    <row r="47" spans="2:7">
      <c r="B47">
        <v>2600</v>
      </c>
    </row>
    <row r="48" spans="2:7">
      <c r="B48">
        <v>2600</v>
      </c>
    </row>
    <row r="49" spans="1:5">
      <c r="B49">
        <v>2600</v>
      </c>
    </row>
    <row r="50" spans="1:5">
      <c r="B50">
        <v>2500</v>
      </c>
    </row>
    <row r="51" spans="1:5">
      <c r="B51">
        <v>2500</v>
      </c>
    </row>
    <row r="52" spans="1:5">
      <c r="B52">
        <v>2300</v>
      </c>
    </row>
    <row r="53" spans="1:5">
      <c r="B53">
        <v>2200</v>
      </c>
    </row>
    <row r="54" spans="1:5">
      <c r="B54">
        <v>1700</v>
      </c>
    </row>
    <row r="55" spans="1:5">
      <c r="A55" t="s">
        <v>539</v>
      </c>
      <c r="B55">
        <v>3735.135135</v>
      </c>
    </row>
    <row r="56" spans="1:5">
      <c r="A56" t="s">
        <v>230</v>
      </c>
      <c r="B56">
        <v>1438.791201</v>
      </c>
    </row>
    <row r="58" spans="1:5" ht="15.75">
      <c r="A58" s="253" t="s">
        <v>960</v>
      </c>
      <c r="B58" s="146"/>
    </row>
    <row r="59" spans="1:5" ht="15.75">
      <c r="A59" s="253" t="s">
        <v>961</v>
      </c>
      <c r="B59" s="146"/>
    </row>
    <row r="60" spans="1:5">
      <c r="B60" t="s">
        <v>970</v>
      </c>
      <c r="C60" t="s">
        <v>971</v>
      </c>
      <c r="D60" t="s">
        <v>972</v>
      </c>
      <c r="E60" t="s">
        <v>852</v>
      </c>
    </row>
    <row r="61" spans="1:5">
      <c r="A61" t="s">
        <v>962</v>
      </c>
      <c r="B61">
        <v>692</v>
      </c>
      <c r="C61">
        <v>123.5</v>
      </c>
      <c r="D61">
        <v>36</v>
      </c>
      <c r="E61">
        <v>128</v>
      </c>
    </row>
    <row r="62" spans="1:5">
      <c r="A62" t="s">
        <v>963</v>
      </c>
      <c r="B62">
        <v>913</v>
      </c>
      <c r="C62">
        <v>135</v>
      </c>
      <c r="D62">
        <v>67</v>
      </c>
      <c r="E62">
        <v>146</v>
      </c>
    </row>
    <row r="63" spans="1:5">
      <c r="A63" t="s">
        <v>964</v>
      </c>
      <c r="B63">
        <v>1100</v>
      </c>
      <c r="C63">
        <v>185</v>
      </c>
      <c r="D63">
        <v>82</v>
      </c>
      <c r="E63">
        <v>167.4</v>
      </c>
    </row>
    <row r="64" spans="1:5">
      <c r="A64" t="s">
        <v>965</v>
      </c>
      <c r="B64">
        <v>1720.2</v>
      </c>
      <c r="C64">
        <v>212.5</v>
      </c>
      <c r="D64">
        <v>83.1</v>
      </c>
      <c r="E64">
        <v>238</v>
      </c>
    </row>
    <row r="65" spans="1:5">
      <c r="A65" t="s">
        <v>966</v>
      </c>
      <c r="B65">
        <v>1279</v>
      </c>
      <c r="C65">
        <v>213.2</v>
      </c>
      <c r="D65">
        <v>90.2</v>
      </c>
      <c r="E65">
        <v>274</v>
      </c>
    </row>
    <row r="66" spans="1:5">
      <c r="A66" t="s">
        <v>967</v>
      </c>
      <c r="B66">
        <v>1381</v>
      </c>
      <c r="C66">
        <v>223</v>
      </c>
      <c r="D66">
        <v>90</v>
      </c>
      <c r="E66">
        <v>322</v>
      </c>
    </row>
    <row r="67" spans="1:5">
      <c r="A67" t="s">
        <v>968</v>
      </c>
      <c r="B67">
        <v>1579.6</v>
      </c>
      <c r="C67">
        <v>301.8</v>
      </c>
      <c r="D67">
        <v>90.2</v>
      </c>
      <c r="E67">
        <v>477</v>
      </c>
    </row>
    <row r="68" spans="1:5">
      <c r="A68" t="s">
        <v>969</v>
      </c>
      <c r="B68">
        <v>1847.6</v>
      </c>
      <c r="C68">
        <v>1916</v>
      </c>
      <c r="D68">
        <v>108</v>
      </c>
      <c r="E68">
        <v>2192</v>
      </c>
    </row>
    <row r="69" spans="1:5" ht="15.75">
      <c r="A69" s="253" t="s">
        <v>853</v>
      </c>
    </row>
    <row r="70" spans="1:5">
      <c r="B70" t="s">
        <v>970</v>
      </c>
      <c r="C70" t="s">
        <v>971</v>
      </c>
      <c r="D70" t="s">
        <v>972</v>
      </c>
      <c r="E70" t="s">
        <v>852</v>
      </c>
    </row>
    <row r="71" spans="1:5">
      <c r="A71" t="s">
        <v>826</v>
      </c>
      <c r="B71">
        <v>141</v>
      </c>
      <c r="C71">
        <v>12</v>
      </c>
      <c r="D71">
        <v>0</v>
      </c>
      <c r="E71">
        <v>44</v>
      </c>
    </row>
    <row r="72" spans="1:5">
      <c r="A72" t="s">
        <v>827</v>
      </c>
      <c r="B72">
        <v>257</v>
      </c>
      <c r="C72">
        <v>48</v>
      </c>
      <c r="D72">
        <v>0</v>
      </c>
      <c r="E72">
        <v>141</v>
      </c>
    </row>
    <row r="73" spans="1:5">
      <c r="A73" t="s">
        <v>828</v>
      </c>
      <c r="B73">
        <v>391</v>
      </c>
      <c r="C73">
        <v>78</v>
      </c>
      <c r="D73">
        <v>77</v>
      </c>
      <c r="E73">
        <v>202</v>
      </c>
    </row>
    <row r="74" spans="1:5">
      <c r="A74" t="s">
        <v>721</v>
      </c>
      <c r="B74">
        <v>512</v>
      </c>
      <c r="C74">
        <v>128</v>
      </c>
      <c r="D74">
        <v>108</v>
      </c>
      <c r="E74">
        <v>277</v>
      </c>
    </row>
    <row r="75" spans="1:5">
      <c r="A75" t="s">
        <v>962</v>
      </c>
      <c r="B75">
        <v>659</v>
      </c>
      <c r="C75">
        <v>153</v>
      </c>
      <c r="D75">
        <v>393</v>
      </c>
      <c r="E75">
        <v>333</v>
      </c>
    </row>
    <row r="76" spans="1:5">
      <c r="A76" t="s">
        <v>963</v>
      </c>
      <c r="B76">
        <v>768</v>
      </c>
      <c r="C76">
        <v>197</v>
      </c>
      <c r="D76">
        <v>397</v>
      </c>
      <c r="E76">
        <v>419</v>
      </c>
    </row>
    <row r="77" spans="1:5">
      <c r="A77" t="s">
        <v>964</v>
      </c>
      <c r="B77">
        <v>892</v>
      </c>
      <c r="C77">
        <v>241</v>
      </c>
      <c r="D77">
        <v>416</v>
      </c>
      <c r="E77">
        <v>516</v>
      </c>
    </row>
    <row r="78" spans="1:5">
      <c r="A78" t="s">
        <v>965</v>
      </c>
      <c r="B78">
        <v>1024</v>
      </c>
      <c r="C78">
        <v>722</v>
      </c>
      <c r="D78">
        <v>478</v>
      </c>
      <c r="E78">
        <v>606</v>
      </c>
    </row>
    <row r="79" spans="1:5">
      <c r="A79" t="s">
        <v>966</v>
      </c>
      <c r="B79">
        <v>1145</v>
      </c>
      <c r="C79">
        <v>740</v>
      </c>
      <c r="D79">
        <v>478</v>
      </c>
      <c r="E79">
        <v>678</v>
      </c>
    </row>
    <row r="80" spans="1:5">
      <c r="A80" t="s">
        <v>967</v>
      </c>
      <c r="B80">
        <v>1258</v>
      </c>
      <c r="C80">
        <v>841</v>
      </c>
      <c r="D80">
        <v>491</v>
      </c>
      <c r="E80">
        <v>792</v>
      </c>
    </row>
    <row r="81" spans="1:5">
      <c r="A81" t="s">
        <v>968</v>
      </c>
      <c r="B81">
        <v>1422</v>
      </c>
      <c r="C81">
        <v>898</v>
      </c>
      <c r="D81">
        <v>584</v>
      </c>
      <c r="E81">
        <v>890</v>
      </c>
    </row>
    <row r="82" spans="1:5">
      <c r="A82" t="s">
        <v>969</v>
      </c>
      <c r="B82">
        <v>1528</v>
      </c>
      <c r="C82">
        <v>1085</v>
      </c>
      <c r="D82">
        <v>671</v>
      </c>
      <c r="E82">
        <v>1040</v>
      </c>
    </row>
    <row r="83" spans="1:5" ht="15.75">
      <c r="A83" s="253" t="s">
        <v>722</v>
      </c>
    </row>
    <row r="84" spans="1:5">
      <c r="B84" t="s">
        <v>970</v>
      </c>
      <c r="C84" t="s">
        <v>971</v>
      </c>
      <c r="D84" t="s">
        <v>972</v>
      </c>
      <c r="E84" t="s">
        <v>852</v>
      </c>
    </row>
    <row r="85" spans="1:5">
      <c r="A85" t="s">
        <v>826</v>
      </c>
      <c r="B85">
        <v>150</v>
      </c>
      <c r="C85">
        <v>11</v>
      </c>
      <c r="D85">
        <v>0</v>
      </c>
      <c r="E85">
        <v>130</v>
      </c>
    </row>
    <row r="86" spans="1:5">
      <c r="A86" t="s">
        <v>827</v>
      </c>
      <c r="B86">
        <v>656</v>
      </c>
      <c r="C86">
        <v>50</v>
      </c>
      <c r="D86">
        <v>12</v>
      </c>
      <c r="E86">
        <v>239</v>
      </c>
    </row>
    <row r="87" spans="1:5">
      <c r="A87" t="s">
        <v>828</v>
      </c>
      <c r="B87">
        <v>572</v>
      </c>
      <c r="C87">
        <v>171</v>
      </c>
      <c r="D87">
        <v>12</v>
      </c>
      <c r="E87">
        <v>286</v>
      </c>
    </row>
    <row r="88" spans="1:5">
      <c r="A88" t="s">
        <v>721</v>
      </c>
      <c r="B88">
        <v>704</v>
      </c>
      <c r="C88">
        <v>220</v>
      </c>
      <c r="D88">
        <v>19</v>
      </c>
      <c r="E88">
        <v>399</v>
      </c>
    </row>
    <row r="89" spans="1:5">
      <c r="A89" t="s">
        <v>962</v>
      </c>
      <c r="B89">
        <v>825</v>
      </c>
      <c r="C89">
        <v>237</v>
      </c>
      <c r="D89">
        <v>23</v>
      </c>
      <c r="E89">
        <v>481</v>
      </c>
    </row>
    <row r="90" spans="1:5">
      <c r="A90" t="s">
        <v>963</v>
      </c>
      <c r="B90">
        <v>976</v>
      </c>
      <c r="C90">
        <v>277</v>
      </c>
      <c r="D90">
        <v>22</v>
      </c>
      <c r="E90">
        <v>572</v>
      </c>
    </row>
    <row r="91" spans="1:5">
      <c r="A91" t="s">
        <v>964</v>
      </c>
      <c r="B91">
        <v>1127</v>
      </c>
      <c r="C91">
        <v>317</v>
      </c>
      <c r="D91">
        <v>22</v>
      </c>
      <c r="E91">
        <v>663</v>
      </c>
    </row>
    <row r="92" spans="1:5">
      <c r="A92" t="s">
        <v>965</v>
      </c>
    </row>
    <row r="93" spans="1:5">
      <c r="A93" t="s">
        <v>966</v>
      </c>
    </row>
    <row r="94" spans="1:5">
      <c r="A94" t="s">
        <v>723</v>
      </c>
    </row>
    <row r="95" spans="1:5">
      <c r="A95" t="s">
        <v>968</v>
      </c>
    </row>
    <row r="96" spans="1:5">
      <c r="A96" t="s">
        <v>969</v>
      </c>
    </row>
    <row r="97" spans="1:6" ht="15">
      <c r="A97" s="55" t="s">
        <v>830</v>
      </c>
    </row>
    <row r="98" spans="1:6">
      <c r="A98" s="155"/>
      <c r="B98" s="155" t="s">
        <v>831</v>
      </c>
      <c r="C98" s="155" t="s">
        <v>832</v>
      </c>
      <c r="D98" s="155" t="s">
        <v>646</v>
      </c>
    </row>
    <row r="99" spans="1:6">
      <c r="A99" s="155">
        <v>2012</v>
      </c>
      <c r="B99" s="155">
        <f>(4724-2596)</f>
        <v>2128</v>
      </c>
      <c r="C99" s="155">
        <v>2596</v>
      </c>
      <c r="D99" s="155">
        <f t="shared" ref="D99:D104" si="1">(C99+B99)</f>
        <v>4724</v>
      </c>
    </row>
    <row r="100" spans="1:6">
      <c r="A100" s="155">
        <v>2013</v>
      </c>
      <c r="B100" s="155">
        <v>1025</v>
      </c>
      <c r="C100" s="155">
        <v>1612</v>
      </c>
      <c r="D100" s="155">
        <f t="shared" si="1"/>
        <v>2637</v>
      </c>
    </row>
    <row r="101" spans="1:6">
      <c r="A101" s="155">
        <v>2014</v>
      </c>
      <c r="B101" s="155">
        <v>834</v>
      </c>
      <c r="C101" s="155">
        <v>1489</v>
      </c>
      <c r="D101" s="155">
        <f t="shared" si="1"/>
        <v>2323</v>
      </c>
    </row>
    <row r="102" spans="1:6">
      <c r="A102" s="155">
        <v>2015</v>
      </c>
      <c r="B102" s="155">
        <v>814</v>
      </c>
      <c r="C102" s="155">
        <v>2580</v>
      </c>
      <c r="D102" s="155">
        <f t="shared" si="1"/>
        <v>3394</v>
      </c>
    </row>
    <row r="103" spans="1:6">
      <c r="A103" s="155">
        <v>2016</v>
      </c>
      <c r="B103" s="155">
        <v>814</v>
      </c>
      <c r="C103" s="155">
        <v>1464</v>
      </c>
      <c r="D103" s="155">
        <f t="shared" si="1"/>
        <v>2278</v>
      </c>
    </row>
    <row r="104" spans="1:6">
      <c r="A104" s="155">
        <v>2017</v>
      </c>
      <c r="B104" s="155">
        <v>854</v>
      </c>
      <c r="C104" s="155">
        <v>1590</v>
      </c>
      <c r="D104" s="155">
        <f t="shared" si="1"/>
        <v>2444</v>
      </c>
    </row>
    <row r="105" spans="1:6">
      <c r="A105" s="155" t="s">
        <v>646</v>
      </c>
      <c r="B105" s="155">
        <f>SUM(B99:B104)</f>
        <v>6469</v>
      </c>
      <c r="C105" s="155">
        <f>SUM(C99:C104)</f>
        <v>11331</v>
      </c>
      <c r="D105" s="155">
        <f>SUM(D99:D104)</f>
        <v>17800</v>
      </c>
    </row>
    <row r="106" spans="1:6" ht="15">
      <c r="A106" s="55" t="s">
        <v>725</v>
      </c>
    </row>
    <row r="107" spans="1:6">
      <c r="A107" s="155"/>
      <c r="B107" s="155">
        <v>2013</v>
      </c>
      <c r="C107" s="155">
        <v>2014</v>
      </c>
      <c r="D107" s="155">
        <v>2015</v>
      </c>
      <c r="E107" s="155">
        <v>2016</v>
      </c>
      <c r="F107" s="155">
        <v>2017</v>
      </c>
    </row>
    <row r="108" spans="1:6">
      <c r="A108" s="155" t="s">
        <v>726</v>
      </c>
      <c r="B108" s="252">
        <v>11.327</v>
      </c>
      <c r="C108" s="252">
        <v>11.082000000000001</v>
      </c>
      <c r="D108" s="252">
        <v>11.377000000000001</v>
      </c>
      <c r="E108" s="252">
        <v>11.680999999999999</v>
      </c>
      <c r="F108" s="252">
        <v>11.996</v>
      </c>
    </row>
    <row r="109" spans="1:6">
      <c r="A109" s="155" t="s">
        <v>775</v>
      </c>
      <c r="B109" s="252">
        <v>6.8710000000000004</v>
      </c>
      <c r="C109" s="252">
        <v>6.577</v>
      </c>
      <c r="D109" s="252">
        <v>6.593</v>
      </c>
      <c r="E109" s="252">
        <v>6.6109999999999998</v>
      </c>
      <c r="F109" s="252">
        <v>6.6280000000000001</v>
      </c>
    </row>
    <row r="110" spans="1:6">
      <c r="A110" s="155" t="s">
        <v>727</v>
      </c>
      <c r="B110" s="252">
        <v>1.0580000000000001</v>
      </c>
      <c r="C110" s="252">
        <v>1.24</v>
      </c>
      <c r="D110" s="252">
        <v>0.71599999999999997</v>
      </c>
      <c r="E110" s="252">
        <v>0.73499999999999999</v>
      </c>
      <c r="F110" s="252">
        <v>2.7690000000000001</v>
      </c>
    </row>
    <row r="111" spans="1:6">
      <c r="A111" s="155" t="s">
        <v>728</v>
      </c>
      <c r="B111" s="252">
        <v>0.628</v>
      </c>
      <c r="C111" s="252">
        <v>0.73299999999999998</v>
      </c>
      <c r="D111" s="252">
        <v>0.42599999999999999</v>
      </c>
      <c r="E111" s="252">
        <v>0.42799999999999999</v>
      </c>
      <c r="F111" s="252">
        <v>1.54</v>
      </c>
    </row>
    <row r="112" spans="1:6">
      <c r="A112" s="155" t="s">
        <v>729</v>
      </c>
      <c r="B112" s="252">
        <v>5.89</v>
      </c>
      <c r="C112" s="252">
        <v>5.1929999999999996</v>
      </c>
      <c r="D112" s="252">
        <v>14.48</v>
      </c>
      <c r="E112" s="252">
        <v>5.8810000000000002</v>
      </c>
      <c r="F112" s="252">
        <v>4.8659999999999997</v>
      </c>
    </row>
    <row r="113" spans="1:6">
      <c r="A113" s="155" t="s">
        <v>772</v>
      </c>
      <c r="B113" s="252">
        <v>3.5609999999999999</v>
      </c>
      <c r="C113" s="252">
        <v>3.0939999999999999</v>
      </c>
      <c r="D113" s="252">
        <v>8.3629999999999995</v>
      </c>
      <c r="E113" s="252">
        <v>3.2970000000000002</v>
      </c>
      <c r="F113" s="252">
        <v>2.6619999999999999</v>
      </c>
    </row>
    <row r="114" spans="1:6">
      <c r="A114" s="155" t="s">
        <v>773</v>
      </c>
      <c r="B114" s="252">
        <v>0.151</v>
      </c>
      <c r="C114" s="252">
        <v>7.8E-2</v>
      </c>
      <c r="D114" s="252">
        <v>0.159</v>
      </c>
      <c r="E114" s="252">
        <v>8.2000000000000003E-2</v>
      </c>
      <c r="F114" s="252">
        <v>0.252</v>
      </c>
    </row>
    <row r="115" spans="1:6">
      <c r="A115" s="155" t="s">
        <v>774</v>
      </c>
      <c r="B115" s="252">
        <v>0.11600000000000001</v>
      </c>
      <c r="C115" s="252">
        <v>0.08</v>
      </c>
      <c r="D115" s="252">
        <v>0.13600000000000001</v>
      </c>
      <c r="E115" s="252">
        <v>0.109</v>
      </c>
      <c r="F115" s="252">
        <v>0.18099999999999999</v>
      </c>
    </row>
    <row r="116" spans="1:6" ht="15.75">
      <c r="A116" s="253" t="s">
        <v>776</v>
      </c>
      <c r="B116" s="252"/>
      <c r="C116" s="252"/>
      <c r="D116" s="252"/>
      <c r="E116" s="252"/>
      <c r="F116" s="252"/>
    </row>
    <row r="117" spans="1:6">
      <c r="B117" s="155">
        <v>2013</v>
      </c>
      <c r="C117" s="155">
        <v>2014</v>
      </c>
      <c r="D117" s="155">
        <v>2015</v>
      </c>
      <c r="E117" s="155">
        <v>2016</v>
      </c>
      <c r="F117" s="155">
        <v>2017</v>
      </c>
    </row>
    <row r="118" spans="1:6">
      <c r="A118" s="155" t="s">
        <v>777</v>
      </c>
      <c r="B118" s="252">
        <v>4.4569999999999999</v>
      </c>
      <c r="C118" s="252">
        <v>4.5060000000000002</v>
      </c>
      <c r="D118" s="252">
        <v>4.7830000000000004</v>
      </c>
      <c r="E118" s="252">
        <v>5.0709999999999997</v>
      </c>
      <c r="F118" s="252">
        <v>5.3680000000000003</v>
      </c>
    </row>
    <row r="119" spans="1:6">
      <c r="A119" s="155" t="s">
        <v>778</v>
      </c>
      <c r="B119" s="252">
        <v>0.43</v>
      </c>
      <c r="C119" s="252">
        <v>0.50700000000000001</v>
      </c>
      <c r="D119" s="252">
        <v>0.28999999999999998</v>
      </c>
      <c r="E119" s="252">
        <v>0.307</v>
      </c>
      <c r="F119" s="252">
        <v>1.2290000000000001</v>
      </c>
    </row>
    <row r="120" spans="1:6">
      <c r="A120" s="155" t="s">
        <v>833</v>
      </c>
      <c r="B120" s="155">
        <v>2.33</v>
      </c>
      <c r="C120" s="155">
        <v>2.0979999999999999</v>
      </c>
      <c r="D120" s="155">
        <v>6.117</v>
      </c>
      <c r="E120" s="155">
        <v>2.5840000000000001</v>
      </c>
      <c r="F120" s="155">
        <v>2.2029999999999998</v>
      </c>
    </row>
    <row r="121" spans="1:6">
      <c r="A121" s="155" t="s">
        <v>982</v>
      </c>
      <c r="B121" s="155">
        <v>3.5000000000000003E-2</v>
      </c>
      <c r="C121" s="155">
        <v>-2.0999999999999999E-3</v>
      </c>
      <c r="D121" s="155">
        <v>2.3E-2</v>
      </c>
      <c r="E121" s="155">
        <v>-2.7000000000000001E-3</v>
      </c>
      <c r="F121" s="155">
        <v>7.0000000000000007E-2</v>
      </c>
    </row>
    <row r="122" spans="1:6">
      <c r="A122" s="165" t="s">
        <v>983</v>
      </c>
      <c r="B122" s="165" t="s">
        <v>1097</v>
      </c>
      <c r="C122" s="165"/>
      <c r="D122" s="165"/>
      <c r="E122" s="155"/>
      <c r="F122" s="155"/>
    </row>
    <row r="123" spans="1:6">
      <c r="A123" s="155"/>
      <c r="B123" s="155" t="s">
        <v>1202</v>
      </c>
      <c r="C123" s="155" t="s">
        <v>1100</v>
      </c>
      <c r="D123" s="155"/>
      <c r="E123" s="155"/>
      <c r="F123" s="155"/>
    </row>
    <row r="124" spans="1:6">
      <c r="A124" s="155" t="s">
        <v>984</v>
      </c>
      <c r="B124" s="252">
        <v>2.7265000000000001</v>
      </c>
      <c r="C124" s="254">
        <f>(B124/$B$129)*100</f>
        <v>76.608167416873187</v>
      </c>
      <c r="D124" s="155"/>
      <c r="E124" s="155"/>
      <c r="F124" s="155"/>
    </row>
    <row r="125" spans="1:6">
      <c r="A125" s="155" t="s">
        <v>1107</v>
      </c>
      <c r="B125" s="252">
        <v>0.31719999999999998</v>
      </c>
      <c r="C125" s="254">
        <f>(B125/$B$129)*100</f>
        <v>8.912565818680422</v>
      </c>
      <c r="D125" s="155"/>
      <c r="E125" s="155"/>
      <c r="F125" s="155"/>
    </row>
    <row r="126" spans="1:6">
      <c r="A126" s="155" t="s">
        <v>1098</v>
      </c>
      <c r="B126" s="252">
        <v>2.3400000000000001E-2</v>
      </c>
      <c r="C126" s="254">
        <f>(B126/$B$129)*100</f>
        <v>0.657484363673146</v>
      </c>
      <c r="D126" s="155"/>
      <c r="E126" s="155"/>
      <c r="F126" s="155"/>
    </row>
    <row r="127" spans="1:6">
      <c r="A127" s="155" t="s">
        <v>1099</v>
      </c>
      <c r="B127" s="252">
        <v>0.26485999999999998</v>
      </c>
      <c r="C127" s="254">
        <f>(B127/$B$129)*100</f>
        <v>7.4419362633533934</v>
      </c>
      <c r="D127" s="155"/>
      <c r="E127" s="155"/>
      <c r="F127" s="155"/>
    </row>
    <row r="128" spans="1:6">
      <c r="A128" s="155" t="s">
        <v>1108</v>
      </c>
      <c r="B128" s="252">
        <v>0.22706000000000001</v>
      </c>
      <c r="C128" s="254">
        <f>(B128/$B$129)*100</f>
        <v>6.3798461374198521</v>
      </c>
      <c r="D128" s="155"/>
      <c r="E128" s="155"/>
      <c r="F128" s="155"/>
    </row>
    <row r="129" spans="1:6">
      <c r="A129" s="155" t="s">
        <v>646</v>
      </c>
      <c r="B129" s="252">
        <f>SUM(B124:B128)</f>
        <v>3.5590200000000003</v>
      </c>
      <c r="C129" s="254">
        <f>SUM(C124:C128)</f>
        <v>100</v>
      </c>
      <c r="D129" s="155"/>
      <c r="E129" s="155"/>
      <c r="F129" s="155"/>
    </row>
    <row r="131" spans="1:6">
      <c r="A131" s="165" t="s">
        <v>1109</v>
      </c>
      <c r="B131" s="165" t="s">
        <v>1097</v>
      </c>
      <c r="C131" s="165"/>
      <c r="D131" s="165"/>
      <c r="E131" s="255"/>
      <c r="F131" s="255"/>
    </row>
    <row r="132" spans="1:6">
      <c r="A132" s="255"/>
      <c r="B132" s="255" t="s">
        <v>1202</v>
      </c>
      <c r="C132" s="255" t="s">
        <v>1100</v>
      </c>
      <c r="D132" s="255"/>
      <c r="E132" s="255"/>
      <c r="F132" s="255"/>
    </row>
    <row r="133" spans="1:6">
      <c r="A133" s="255" t="s">
        <v>1110</v>
      </c>
      <c r="B133" s="256">
        <v>4.4276</v>
      </c>
      <c r="C133" s="257">
        <f>(B133/$B$137)*100</f>
        <v>74.73247139047362</v>
      </c>
      <c r="D133" s="255"/>
      <c r="E133" s="255"/>
      <c r="F133" s="255"/>
    </row>
    <row r="134" spans="1:6">
      <c r="A134" s="255" t="s">
        <v>1111</v>
      </c>
      <c r="B134" s="256">
        <v>0.624</v>
      </c>
      <c r="C134" s="257">
        <f>(B134/$B$137)*100</f>
        <v>10.53235661479256</v>
      </c>
      <c r="D134" s="255"/>
      <c r="E134" s="255"/>
      <c r="F134" s="255"/>
    </row>
    <row r="135" spans="1:6">
      <c r="A135" s="255" t="s">
        <v>1112</v>
      </c>
      <c r="B135" s="256">
        <v>0.78</v>
      </c>
      <c r="C135" s="257">
        <f>(B135/$B$137)*100</f>
        <v>13.165445768490699</v>
      </c>
      <c r="D135" s="255"/>
      <c r="E135" s="255"/>
      <c r="F135" s="255"/>
    </row>
    <row r="136" spans="1:6">
      <c r="A136" s="255" t="s">
        <v>1113</v>
      </c>
      <c r="B136" s="256">
        <v>9.2999999999999999E-2</v>
      </c>
      <c r="C136" s="257">
        <f>(B136/$B$137)*100</f>
        <v>1.569726226243122</v>
      </c>
      <c r="D136" s="255"/>
      <c r="E136" s="255"/>
      <c r="F136" s="255"/>
    </row>
    <row r="137" spans="1:6">
      <c r="A137" s="255" t="s">
        <v>646</v>
      </c>
      <c r="B137" s="256">
        <f>SUM(B133:B136)</f>
        <v>5.9245999999999999</v>
      </c>
      <c r="C137" s="257">
        <f>SUM(C133:C136)</f>
        <v>100</v>
      </c>
      <c r="D137" s="255"/>
      <c r="E137" s="255"/>
      <c r="F137" s="255"/>
    </row>
    <row r="138" spans="1:6">
      <c r="A138" s="165" t="s">
        <v>1114</v>
      </c>
    </row>
    <row r="139" spans="1:6">
      <c r="A139" s="155"/>
      <c r="B139" s="155">
        <v>2013</v>
      </c>
      <c r="C139" s="155">
        <v>2014</v>
      </c>
      <c r="D139" s="155">
        <v>2015</v>
      </c>
      <c r="E139" s="155">
        <v>2016</v>
      </c>
      <c r="F139" s="155">
        <v>2017</v>
      </c>
    </row>
    <row r="140" spans="1:6">
      <c r="A140" s="155" t="s">
        <v>854</v>
      </c>
      <c r="B140" s="258">
        <v>4580</v>
      </c>
      <c r="C140" s="258">
        <v>4616</v>
      </c>
      <c r="D140" s="258">
        <v>4627</v>
      </c>
      <c r="E140" s="258">
        <v>4639</v>
      </c>
      <c r="F140" s="258">
        <v>4651</v>
      </c>
    </row>
    <row r="141" spans="1:6">
      <c r="A141" s="155" t="s">
        <v>855</v>
      </c>
      <c r="B141" s="258">
        <v>4776</v>
      </c>
      <c r="C141" s="258">
        <v>4666</v>
      </c>
      <c r="D141" s="258">
        <v>5195</v>
      </c>
      <c r="E141" s="258">
        <v>5221</v>
      </c>
      <c r="F141" s="258">
        <v>4708</v>
      </c>
    </row>
    <row r="142" spans="1:6">
      <c r="A142" s="155" t="s">
        <v>856</v>
      </c>
      <c r="B142" s="258">
        <v>4571</v>
      </c>
      <c r="C142" s="258">
        <v>4646</v>
      </c>
      <c r="D142" s="258">
        <v>4617</v>
      </c>
      <c r="E142" s="258">
        <v>4644</v>
      </c>
      <c r="F142" s="258">
        <v>4622</v>
      </c>
    </row>
    <row r="143" spans="1:6">
      <c r="A143" s="155" t="s">
        <v>857</v>
      </c>
      <c r="B143" s="258">
        <v>9695</v>
      </c>
      <c r="C143" s="258">
        <v>40000</v>
      </c>
      <c r="D143" s="258">
        <v>8018</v>
      </c>
      <c r="E143" s="258">
        <v>12154</v>
      </c>
      <c r="F143" s="258">
        <v>7566</v>
      </c>
    </row>
    <row r="144" spans="1:6">
      <c r="A144" s="165" t="s">
        <v>858</v>
      </c>
    </row>
    <row r="145" spans="1:6">
      <c r="A145" s="155"/>
      <c r="B145" s="155">
        <v>2013</v>
      </c>
      <c r="C145" s="155">
        <v>2014</v>
      </c>
      <c r="D145" s="155">
        <v>2015</v>
      </c>
      <c r="E145" s="155">
        <v>2016</v>
      </c>
      <c r="F145" s="155">
        <v>2017</v>
      </c>
    </row>
    <row r="146" spans="1:6">
      <c r="A146" s="155" t="s">
        <v>859</v>
      </c>
      <c r="B146" s="258">
        <v>75516</v>
      </c>
      <c r="C146" s="258">
        <v>77502</v>
      </c>
      <c r="D146" s="258">
        <v>79559</v>
      </c>
      <c r="E146" s="258">
        <v>81686</v>
      </c>
      <c r="F146" s="258">
        <v>83890</v>
      </c>
    </row>
    <row r="147" spans="1:6">
      <c r="A147" s="155" t="s">
        <v>860</v>
      </c>
      <c r="B147" s="155">
        <v>75536</v>
      </c>
      <c r="C147" s="155">
        <v>77501</v>
      </c>
      <c r="D147" s="155">
        <v>79667</v>
      </c>
      <c r="E147" s="155">
        <v>81736</v>
      </c>
      <c r="F147" s="155">
        <v>83902</v>
      </c>
    </row>
    <row r="148" spans="1:6">
      <c r="A148" s="155" t="s">
        <v>861</v>
      </c>
      <c r="B148" s="155">
        <v>75518</v>
      </c>
      <c r="C148" s="155">
        <v>77503</v>
      </c>
      <c r="D148" s="155">
        <v>79559</v>
      </c>
      <c r="E148" s="155">
        <v>81685</v>
      </c>
      <c r="F148" s="155">
        <v>83893</v>
      </c>
    </row>
    <row r="149" spans="1:6">
      <c r="A149" s="155" t="s">
        <v>862</v>
      </c>
      <c r="B149" s="155">
        <v>75665</v>
      </c>
      <c r="C149" s="155">
        <v>77951</v>
      </c>
      <c r="D149" s="155">
        <v>79708</v>
      </c>
      <c r="E149" s="155">
        <v>82126</v>
      </c>
      <c r="F149" s="155">
        <v>83939</v>
      </c>
    </row>
  </sheetData>
  <phoneticPr fontId="18" type="noConversion"/>
  <pageMargins left="0.75" right="0.75" top="1" bottom="1" header="0.5" footer="0.5"/>
  <rowBreaks count="2" manualBreakCount="2">
    <brk id="56" max="16383" man="1"/>
    <brk id="115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87"/>
  <sheetViews>
    <sheetView topLeftCell="A106" zoomScale="60" zoomScaleNormal="75" zoomScalePageLayoutView="75" workbookViewId="0">
      <selection activeCell="K50" sqref="K50"/>
    </sheetView>
  </sheetViews>
  <sheetFormatPr defaultColWidth="11" defaultRowHeight="14.25"/>
  <cols>
    <col min="1" max="1" width="14.375" customWidth="1"/>
    <col min="2" max="2" width="15.625" customWidth="1"/>
    <col min="3" max="3" width="13.375" customWidth="1"/>
    <col min="4" max="4" width="13.625" customWidth="1"/>
    <col min="5" max="5" width="11.125" bestFit="1" customWidth="1"/>
    <col min="6" max="6" width="12.375" customWidth="1"/>
    <col min="7" max="7" width="13" customWidth="1"/>
    <col min="8" max="8" width="12.625" bestFit="1" customWidth="1"/>
    <col min="10" max="10" width="14.125" customWidth="1"/>
    <col min="11" max="11" width="17.875" customWidth="1"/>
    <col min="12" max="12" width="14.25" customWidth="1"/>
    <col min="14" max="14" width="11" customWidth="1"/>
    <col min="16" max="16" width="17.375" customWidth="1"/>
    <col min="18" max="18" width="18" customWidth="1"/>
  </cols>
  <sheetData>
    <row r="1" spans="1:21" ht="23.25">
      <c r="A1" s="176" t="s">
        <v>218</v>
      </c>
      <c r="B1" s="55"/>
      <c r="K1" s="176" t="s">
        <v>703</v>
      </c>
    </row>
    <row r="2" spans="1:21" ht="83.25" customHeight="1">
      <c r="A2" s="52" t="s">
        <v>507</v>
      </c>
      <c r="B2" s="52"/>
      <c r="C2" s="52" t="s">
        <v>212</v>
      </c>
      <c r="D2" s="52" t="s">
        <v>213</v>
      </c>
      <c r="E2" s="52" t="s">
        <v>505</v>
      </c>
      <c r="F2" s="52" t="s">
        <v>701</v>
      </c>
      <c r="G2" s="52" t="s">
        <v>702</v>
      </c>
      <c r="K2" s="49" t="s">
        <v>507</v>
      </c>
      <c r="L2" s="49" t="s">
        <v>587</v>
      </c>
      <c r="M2" s="49" t="s">
        <v>112</v>
      </c>
      <c r="N2" s="49" t="s">
        <v>434</v>
      </c>
      <c r="O2" s="49" t="s">
        <v>432</v>
      </c>
      <c r="P2" s="49" t="s">
        <v>433</v>
      </c>
      <c r="Q2" s="49" t="s">
        <v>110</v>
      </c>
      <c r="R2" s="49" t="s">
        <v>1192</v>
      </c>
      <c r="S2" s="47"/>
      <c r="T2" s="47"/>
      <c r="U2" s="47"/>
    </row>
    <row r="3" spans="1:21">
      <c r="A3" s="49" t="s">
        <v>458</v>
      </c>
      <c r="B3" s="49"/>
      <c r="C3" s="50">
        <v>13390</v>
      </c>
      <c r="D3" s="50">
        <v>16507</v>
      </c>
      <c r="E3" s="50">
        <v>2664</v>
      </c>
      <c r="F3" s="51">
        <f>(E3/C3)*100</f>
        <v>19.895444361463781</v>
      </c>
      <c r="G3" s="51">
        <f>(E3/D3)*100</f>
        <v>16.138607863330709</v>
      </c>
      <c r="K3" s="56" t="s">
        <v>586</v>
      </c>
      <c r="L3" s="56" t="s">
        <v>431</v>
      </c>
      <c r="M3" s="76">
        <v>148</v>
      </c>
      <c r="N3" s="77">
        <v>186</v>
      </c>
      <c r="O3" s="78">
        <v>0.18</v>
      </c>
      <c r="P3" s="78">
        <f t="shared" ref="P3:P20" si="0">(O3*N3)</f>
        <v>33.479999999999997</v>
      </c>
      <c r="Q3" s="58" t="s">
        <v>644</v>
      </c>
      <c r="R3" s="56" t="s">
        <v>1191</v>
      </c>
    </row>
    <row r="4" spans="1:21" ht="16.5" customHeight="1">
      <c r="A4" s="49" t="s">
        <v>454</v>
      </c>
      <c r="B4" s="49"/>
      <c r="C4" s="50">
        <v>31072</v>
      </c>
      <c r="D4" s="50">
        <v>32180</v>
      </c>
      <c r="E4" s="50">
        <v>8964</v>
      </c>
      <c r="F4" s="51">
        <f t="shared" ref="F4:F45" si="1">(E4/C4)*100</f>
        <v>28.849124613800203</v>
      </c>
      <c r="G4" s="51">
        <f t="shared" ref="G4:G45" si="2">(E4/D4)*100</f>
        <v>27.855811062771906</v>
      </c>
      <c r="K4" s="56" t="s">
        <v>113</v>
      </c>
      <c r="L4" s="56" t="s">
        <v>111</v>
      </c>
      <c r="M4" s="76">
        <v>176</v>
      </c>
      <c r="N4" s="77">
        <v>1246</v>
      </c>
      <c r="O4" s="78">
        <v>0.18</v>
      </c>
      <c r="P4" s="78">
        <f t="shared" si="0"/>
        <v>224.28</v>
      </c>
      <c r="Q4" s="79" t="s">
        <v>645</v>
      </c>
      <c r="R4" s="49" t="s">
        <v>1233</v>
      </c>
    </row>
    <row r="5" spans="1:21" ht="14.25" customHeight="1">
      <c r="A5" s="49" t="s">
        <v>455</v>
      </c>
      <c r="B5" s="49"/>
      <c r="C5" s="49">
        <v>30</v>
      </c>
      <c r="D5" s="49">
        <v>20</v>
      </c>
      <c r="E5" s="49">
        <v>20</v>
      </c>
      <c r="F5" s="51">
        <f t="shared" si="1"/>
        <v>66.666666666666657</v>
      </c>
      <c r="G5" s="51">
        <f t="shared" si="2"/>
        <v>100</v>
      </c>
      <c r="K5" s="56" t="s">
        <v>1242</v>
      </c>
      <c r="L5" s="56" t="s">
        <v>1190</v>
      </c>
      <c r="M5" s="76"/>
      <c r="N5" s="77">
        <f>(8348.7*0.522)</f>
        <v>4358.0214000000005</v>
      </c>
      <c r="O5" s="78">
        <v>1</v>
      </c>
      <c r="P5" s="78">
        <f t="shared" si="0"/>
        <v>4358.0214000000005</v>
      </c>
      <c r="Q5" s="79" t="s">
        <v>645</v>
      </c>
      <c r="R5" s="49" t="s">
        <v>117</v>
      </c>
    </row>
    <row r="6" spans="1:21">
      <c r="A6" s="49" t="s">
        <v>456</v>
      </c>
      <c r="B6" s="49"/>
      <c r="C6" s="50">
        <v>23388</v>
      </c>
      <c r="D6" s="50">
        <v>20669</v>
      </c>
      <c r="E6" s="50">
        <v>9036</v>
      </c>
      <c r="F6" s="51">
        <f t="shared" si="1"/>
        <v>38.635197537198565</v>
      </c>
      <c r="G6" s="51">
        <f t="shared" si="2"/>
        <v>43.717644782040736</v>
      </c>
      <c r="K6" s="56" t="s">
        <v>687</v>
      </c>
      <c r="L6" s="56" t="s">
        <v>118</v>
      </c>
      <c r="M6" s="76">
        <f>(65/1.32)</f>
        <v>49.242424242424242</v>
      </c>
      <c r="N6" s="77">
        <v>65</v>
      </c>
      <c r="O6" s="78">
        <v>0.35</v>
      </c>
      <c r="P6" s="78">
        <f t="shared" si="0"/>
        <v>22.75</v>
      </c>
      <c r="Q6" s="58" t="s">
        <v>644</v>
      </c>
      <c r="R6" s="56" t="s">
        <v>1191</v>
      </c>
    </row>
    <row r="7" spans="1:21">
      <c r="A7" s="49" t="s">
        <v>457</v>
      </c>
      <c r="B7" s="49"/>
      <c r="C7" s="50">
        <v>39505</v>
      </c>
      <c r="D7" s="50">
        <v>39746</v>
      </c>
      <c r="E7" s="50">
        <v>9059</v>
      </c>
      <c r="F7" s="51">
        <f t="shared" si="1"/>
        <v>22.931274522212377</v>
      </c>
      <c r="G7" s="51">
        <f t="shared" si="2"/>
        <v>22.792230664720979</v>
      </c>
      <c r="K7" s="56" t="s">
        <v>687</v>
      </c>
      <c r="L7" s="56" t="s">
        <v>119</v>
      </c>
      <c r="M7" s="76">
        <f>(145/1.32)</f>
        <v>109.84848484848484</v>
      </c>
      <c r="N7" s="77">
        <v>145</v>
      </c>
      <c r="O7" s="78">
        <v>0.35</v>
      </c>
      <c r="P7" s="78">
        <f t="shared" si="0"/>
        <v>50.75</v>
      </c>
      <c r="Q7" s="79" t="s">
        <v>645</v>
      </c>
      <c r="R7" s="56" t="s">
        <v>1191</v>
      </c>
    </row>
    <row r="8" spans="1:21">
      <c r="A8" s="49" t="s">
        <v>353</v>
      </c>
      <c r="B8" s="49"/>
      <c r="C8" s="50">
        <v>41804</v>
      </c>
      <c r="D8" s="50">
        <v>40439</v>
      </c>
      <c r="E8" s="50">
        <v>21592</v>
      </c>
      <c r="F8" s="51">
        <f t="shared" si="1"/>
        <v>51.650559755047368</v>
      </c>
      <c r="G8" s="51">
        <f t="shared" si="2"/>
        <v>53.394000840772527</v>
      </c>
      <c r="K8" s="56" t="s">
        <v>120</v>
      </c>
      <c r="L8" s="56" t="s">
        <v>121</v>
      </c>
      <c r="M8" s="76"/>
      <c r="N8" s="77">
        <v>26</v>
      </c>
      <c r="O8" s="78">
        <v>2</v>
      </c>
      <c r="P8" s="78">
        <f t="shared" si="0"/>
        <v>52</v>
      </c>
      <c r="Q8" s="58" t="s">
        <v>644</v>
      </c>
      <c r="R8" s="56" t="s">
        <v>248</v>
      </c>
    </row>
    <row r="9" spans="1:21">
      <c r="A9" s="49" t="s">
        <v>354</v>
      </c>
      <c r="B9" s="49"/>
      <c r="C9" s="50">
        <v>3825</v>
      </c>
      <c r="D9" s="50">
        <v>3835</v>
      </c>
      <c r="E9" s="50">
        <v>2648</v>
      </c>
      <c r="F9" s="51">
        <f t="shared" si="1"/>
        <v>69.22875816993465</v>
      </c>
      <c r="G9" s="51">
        <f t="shared" si="2"/>
        <v>69.04823989569752</v>
      </c>
      <c r="K9" s="56" t="s">
        <v>249</v>
      </c>
      <c r="L9" s="56" t="s">
        <v>250</v>
      </c>
      <c r="M9" s="76">
        <f>(78.1/0.37)</f>
        <v>211.08108108108107</v>
      </c>
      <c r="N9" s="77">
        <v>78.099999999999994</v>
      </c>
      <c r="O9" s="78">
        <v>0.28000000000000003</v>
      </c>
      <c r="P9" s="78">
        <f t="shared" si="0"/>
        <v>21.868000000000002</v>
      </c>
      <c r="Q9" s="58" t="s">
        <v>644</v>
      </c>
      <c r="R9" s="56" t="s">
        <v>1191</v>
      </c>
    </row>
    <row r="10" spans="1:21">
      <c r="A10" s="49" t="s">
        <v>355</v>
      </c>
      <c r="B10" s="49"/>
      <c r="C10" s="50">
        <v>121450</v>
      </c>
      <c r="D10" s="50">
        <v>89762</v>
      </c>
      <c r="E10" s="50">
        <v>50890</v>
      </c>
      <c r="F10" s="51">
        <f t="shared" si="1"/>
        <v>41.902017291066286</v>
      </c>
      <c r="G10" s="51">
        <f t="shared" si="2"/>
        <v>56.694369555045569</v>
      </c>
      <c r="K10" s="56" t="s">
        <v>249</v>
      </c>
      <c r="L10" s="56" t="s">
        <v>251</v>
      </c>
      <c r="M10" s="76">
        <f>(68.2/0.37)</f>
        <v>184.32432432432432</v>
      </c>
      <c r="N10" s="77">
        <v>68.2</v>
      </c>
      <c r="O10" s="78">
        <v>0.28000000000000003</v>
      </c>
      <c r="P10" s="78">
        <f t="shared" si="0"/>
        <v>19.096000000000004</v>
      </c>
      <c r="Q10" s="58" t="s">
        <v>644</v>
      </c>
      <c r="R10" s="56" t="s">
        <v>1191</v>
      </c>
    </row>
    <row r="11" spans="1:21">
      <c r="A11" s="49" t="s">
        <v>618</v>
      </c>
      <c r="B11" s="49"/>
      <c r="C11" s="50">
        <v>558</v>
      </c>
      <c r="D11" s="50">
        <v>772</v>
      </c>
      <c r="E11" s="50">
        <v>208</v>
      </c>
      <c r="F11" s="51">
        <f t="shared" si="1"/>
        <v>37.275985663082437</v>
      </c>
      <c r="G11" s="51">
        <f t="shared" si="2"/>
        <v>26.94300518134715</v>
      </c>
      <c r="K11" s="56" t="s">
        <v>252</v>
      </c>
      <c r="L11" s="56" t="s">
        <v>253</v>
      </c>
      <c r="M11" s="76"/>
      <c r="N11" s="77">
        <v>1.8</v>
      </c>
      <c r="O11" s="78">
        <v>2</v>
      </c>
      <c r="P11" s="78">
        <f t="shared" si="0"/>
        <v>3.6</v>
      </c>
      <c r="Q11" s="58" t="s">
        <v>644</v>
      </c>
      <c r="R11" s="56" t="s">
        <v>254</v>
      </c>
    </row>
    <row r="12" spans="1:21">
      <c r="A12" s="49" t="s">
        <v>356</v>
      </c>
      <c r="B12" s="49"/>
      <c r="C12" s="50">
        <v>6570</v>
      </c>
      <c r="D12" s="50">
        <v>4943</v>
      </c>
      <c r="E12" s="50">
        <v>1832</v>
      </c>
      <c r="F12" s="51">
        <f t="shared" si="1"/>
        <v>27.884322678843226</v>
      </c>
      <c r="G12" s="51">
        <f t="shared" si="2"/>
        <v>37.062512644143233</v>
      </c>
      <c r="K12" s="56" t="s">
        <v>252</v>
      </c>
      <c r="L12" s="56" t="s">
        <v>255</v>
      </c>
      <c r="M12" s="76"/>
      <c r="N12" s="77">
        <v>1.5</v>
      </c>
      <c r="O12" s="78">
        <v>2</v>
      </c>
      <c r="P12" s="78">
        <f t="shared" si="0"/>
        <v>3</v>
      </c>
      <c r="Q12" s="58" t="s">
        <v>256</v>
      </c>
      <c r="R12" s="56" t="s">
        <v>254</v>
      </c>
    </row>
    <row r="13" spans="1:21" ht="28.5">
      <c r="A13" s="49" t="s">
        <v>851</v>
      </c>
      <c r="B13" s="49"/>
      <c r="C13" s="50">
        <v>17069</v>
      </c>
      <c r="D13" s="50">
        <v>32357</v>
      </c>
      <c r="E13" s="50">
        <v>577</v>
      </c>
      <c r="F13" s="51">
        <f t="shared" si="1"/>
        <v>3.380397211318765</v>
      </c>
      <c r="G13" s="51">
        <f t="shared" si="2"/>
        <v>1.7832308310411964</v>
      </c>
      <c r="K13" s="56" t="s">
        <v>257</v>
      </c>
      <c r="L13" s="56" t="s">
        <v>258</v>
      </c>
      <c r="M13" s="76">
        <f>(92.3/0.37)</f>
        <v>249.45945945945945</v>
      </c>
      <c r="N13" s="77">
        <v>92.3</v>
      </c>
      <c r="O13" s="78">
        <v>0.28000000000000003</v>
      </c>
      <c r="P13" s="78">
        <f t="shared" si="0"/>
        <v>25.844000000000001</v>
      </c>
      <c r="Q13" s="58" t="s">
        <v>644</v>
      </c>
      <c r="R13" s="56" t="s">
        <v>1191</v>
      </c>
    </row>
    <row r="14" spans="1:21">
      <c r="A14" s="49" t="s">
        <v>357</v>
      </c>
      <c r="B14" s="49"/>
      <c r="C14" s="50">
        <v>100</v>
      </c>
      <c r="D14" s="50">
        <v>110</v>
      </c>
      <c r="E14" s="50">
        <v>80</v>
      </c>
      <c r="F14" s="51">
        <f t="shared" si="1"/>
        <v>80</v>
      </c>
      <c r="G14" s="51">
        <f t="shared" si="2"/>
        <v>72.727272727272734</v>
      </c>
      <c r="K14" s="56" t="s">
        <v>257</v>
      </c>
      <c r="L14" s="56" t="s">
        <v>185</v>
      </c>
      <c r="M14" s="76">
        <f>(1.9/0.37)</f>
        <v>5.1351351351351351</v>
      </c>
      <c r="N14" s="77">
        <v>1.9</v>
      </c>
      <c r="O14" s="78">
        <v>0.28000000000000003</v>
      </c>
      <c r="P14" s="78">
        <f t="shared" si="0"/>
        <v>0.53200000000000003</v>
      </c>
      <c r="Q14" s="58" t="s">
        <v>644</v>
      </c>
      <c r="R14" s="56" t="s">
        <v>1191</v>
      </c>
    </row>
    <row r="15" spans="1:21">
      <c r="A15" s="49" t="s">
        <v>358</v>
      </c>
      <c r="B15" s="49"/>
      <c r="C15" s="50">
        <v>73284</v>
      </c>
      <c r="D15" s="50">
        <v>73551</v>
      </c>
      <c r="E15" s="50">
        <v>23850</v>
      </c>
      <c r="F15" s="51">
        <f t="shared" si="1"/>
        <v>32.544620926805308</v>
      </c>
      <c r="G15" s="51">
        <f t="shared" si="2"/>
        <v>32.426479585593668</v>
      </c>
      <c r="K15" s="56" t="s">
        <v>257</v>
      </c>
      <c r="L15" s="56" t="s">
        <v>186</v>
      </c>
      <c r="M15" s="76">
        <f>(1.5/0.37)</f>
        <v>4.0540540540540544</v>
      </c>
      <c r="N15" s="77">
        <v>1.5</v>
      </c>
      <c r="O15" s="78">
        <v>0.28000000000000003</v>
      </c>
      <c r="P15" s="78">
        <f t="shared" si="0"/>
        <v>0.42000000000000004</v>
      </c>
      <c r="Q15" s="58" t="s">
        <v>644</v>
      </c>
      <c r="R15" s="56" t="s">
        <v>1191</v>
      </c>
    </row>
    <row r="16" spans="1:21">
      <c r="A16" s="49" t="s">
        <v>359</v>
      </c>
      <c r="B16" s="49"/>
      <c r="C16" s="50">
        <v>28157</v>
      </c>
      <c r="D16" s="50">
        <v>28481</v>
      </c>
      <c r="E16" s="50">
        <v>8593</v>
      </c>
      <c r="F16" s="51">
        <f t="shared" si="1"/>
        <v>30.518165997798064</v>
      </c>
      <c r="G16" s="51">
        <f t="shared" si="2"/>
        <v>30.170991187107195</v>
      </c>
      <c r="K16" s="56" t="s">
        <v>257</v>
      </c>
      <c r="L16" s="56" t="s">
        <v>187</v>
      </c>
      <c r="M16" s="76">
        <f>(5.8/0.37)</f>
        <v>15.675675675675675</v>
      </c>
      <c r="N16" s="77">
        <v>5.8</v>
      </c>
      <c r="O16" s="78">
        <v>0.28000000000000003</v>
      </c>
      <c r="P16" s="78">
        <f t="shared" si="0"/>
        <v>1.6240000000000001</v>
      </c>
      <c r="Q16" s="79" t="s">
        <v>188</v>
      </c>
      <c r="R16" s="56" t="s">
        <v>1191</v>
      </c>
    </row>
    <row r="17" spans="1:18">
      <c r="A17" s="49" t="s">
        <v>360</v>
      </c>
      <c r="B17" s="49" t="s">
        <v>26</v>
      </c>
      <c r="C17" s="50">
        <v>17509</v>
      </c>
      <c r="D17" s="50">
        <v>20629</v>
      </c>
      <c r="E17" s="50">
        <v>13464</v>
      </c>
      <c r="F17" s="51">
        <f t="shared" si="1"/>
        <v>76.897595522302822</v>
      </c>
      <c r="G17" s="51">
        <f t="shared" si="2"/>
        <v>65.267342091230802</v>
      </c>
      <c r="K17" s="56" t="s">
        <v>184</v>
      </c>
      <c r="L17" s="56" t="s">
        <v>189</v>
      </c>
      <c r="M17" s="76"/>
      <c r="N17" s="77">
        <v>1.3</v>
      </c>
      <c r="O17" s="78">
        <v>0.6</v>
      </c>
      <c r="P17" s="78">
        <f t="shared" si="0"/>
        <v>0.78</v>
      </c>
      <c r="Q17" s="58" t="s">
        <v>644</v>
      </c>
      <c r="R17" s="56" t="s">
        <v>254</v>
      </c>
    </row>
    <row r="18" spans="1:18">
      <c r="A18" s="49" t="s">
        <v>361</v>
      </c>
      <c r="B18" s="49"/>
      <c r="C18" s="50">
        <v>81</v>
      </c>
      <c r="D18" s="50">
        <v>91</v>
      </c>
      <c r="E18" s="50">
        <v>36</v>
      </c>
      <c r="F18" s="51">
        <f t="shared" si="1"/>
        <v>44.444444444444443</v>
      </c>
      <c r="G18" s="51">
        <f t="shared" si="2"/>
        <v>39.560439560439562</v>
      </c>
      <c r="K18" s="56" t="s">
        <v>692</v>
      </c>
      <c r="L18" s="64" t="s">
        <v>192</v>
      </c>
      <c r="M18" s="76">
        <v>140</v>
      </c>
      <c r="N18" s="77">
        <v>195.5</v>
      </c>
      <c r="O18" s="78">
        <v>0.28000000000000003</v>
      </c>
      <c r="P18" s="78">
        <f t="shared" si="0"/>
        <v>54.74</v>
      </c>
      <c r="Q18" s="58" t="s">
        <v>644</v>
      </c>
      <c r="R18" s="56" t="s">
        <v>1191</v>
      </c>
    </row>
    <row r="19" spans="1:18">
      <c r="A19" s="49" t="s">
        <v>362</v>
      </c>
      <c r="B19" s="49"/>
      <c r="C19" s="50">
        <v>928</v>
      </c>
      <c r="D19" s="50">
        <v>929</v>
      </c>
      <c r="E19" s="50">
        <v>927</v>
      </c>
      <c r="F19" s="51">
        <f t="shared" si="1"/>
        <v>99.892241379310349</v>
      </c>
      <c r="G19" s="51">
        <f t="shared" si="2"/>
        <v>99.784714747039828</v>
      </c>
      <c r="K19" s="56" t="s">
        <v>190</v>
      </c>
      <c r="L19" s="56" t="s">
        <v>191</v>
      </c>
      <c r="M19" s="76"/>
      <c r="N19" s="77">
        <v>3.9</v>
      </c>
      <c r="O19" s="78">
        <v>2</v>
      </c>
      <c r="P19" s="78">
        <f t="shared" si="0"/>
        <v>7.8</v>
      </c>
      <c r="Q19" s="58" t="s">
        <v>644</v>
      </c>
      <c r="R19" s="56" t="s">
        <v>254</v>
      </c>
    </row>
    <row r="20" spans="1:18">
      <c r="A20" s="49" t="s">
        <v>363</v>
      </c>
      <c r="B20" s="49"/>
      <c r="C20" s="50">
        <v>10600</v>
      </c>
      <c r="D20" s="50">
        <v>14557</v>
      </c>
      <c r="E20" s="50">
        <v>3421</v>
      </c>
      <c r="F20" s="51">
        <f t="shared" si="1"/>
        <v>32.273584905660378</v>
      </c>
      <c r="G20" s="51">
        <f t="shared" si="2"/>
        <v>23.500721302466168</v>
      </c>
      <c r="K20" s="56" t="s">
        <v>194</v>
      </c>
      <c r="L20" s="56" t="s">
        <v>193</v>
      </c>
      <c r="M20" s="76">
        <v>144</v>
      </c>
      <c r="N20" s="77">
        <v>199.9</v>
      </c>
      <c r="O20" s="78">
        <v>0.28000000000000003</v>
      </c>
      <c r="P20" s="78">
        <f t="shared" si="0"/>
        <v>55.972000000000008</v>
      </c>
      <c r="Q20" s="58" t="s">
        <v>644</v>
      </c>
      <c r="R20" s="56" t="s">
        <v>1191</v>
      </c>
    </row>
    <row r="21" spans="1:18">
      <c r="A21" s="49" t="s">
        <v>364</v>
      </c>
      <c r="B21" s="49" t="s">
        <v>26</v>
      </c>
      <c r="C21" s="50">
        <v>14051</v>
      </c>
      <c r="D21" s="50">
        <v>15675</v>
      </c>
      <c r="E21" s="50">
        <v>10181</v>
      </c>
      <c r="F21" s="51">
        <f t="shared" si="1"/>
        <v>72.457476336203825</v>
      </c>
      <c r="G21" s="51">
        <f t="shared" si="2"/>
        <v>64.950558213716107</v>
      </c>
      <c r="K21" s="56"/>
      <c r="L21" s="56"/>
      <c r="M21" s="76"/>
      <c r="N21" s="77"/>
      <c r="O21" s="78"/>
      <c r="P21" s="78"/>
      <c r="Q21" s="56"/>
      <c r="R21" s="56"/>
    </row>
    <row r="22" spans="1:18">
      <c r="A22" s="49" t="s">
        <v>365</v>
      </c>
      <c r="B22" s="49"/>
      <c r="C22" s="50">
        <v>94010</v>
      </c>
      <c r="D22" s="50">
        <v>89725</v>
      </c>
      <c r="E22" s="50">
        <v>4450</v>
      </c>
      <c r="F22" s="51">
        <f t="shared" si="1"/>
        <v>4.7335389852143388</v>
      </c>
      <c r="G22" s="51">
        <f t="shared" si="2"/>
        <v>4.9595987740317637</v>
      </c>
      <c r="K22" s="56" t="s">
        <v>205</v>
      </c>
      <c r="L22" s="56"/>
      <c r="M22" s="76">
        <f>(M20+M18+M15+M14+M13+M10+M9+M6+M3)</f>
        <v>1135.2964782964782</v>
      </c>
      <c r="N22" s="76">
        <f>(N20+N18+N15+N14+N13+N10+N9+N6+N3)</f>
        <v>888.4</v>
      </c>
      <c r="O22" s="76">
        <f>(O20+O18+O15+O14+O13+O10+O9+O6+O3)</f>
        <v>2.4900000000000002</v>
      </c>
      <c r="P22" s="76">
        <f>(P20+P18+P15+P14+P13+P10+P9+P6+P3)</f>
        <v>234.702</v>
      </c>
      <c r="Q22" s="80" t="s">
        <v>644</v>
      </c>
      <c r="R22" s="56"/>
    </row>
    <row r="23" spans="1:18">
      <c r="A23" s="49" t="s">
        <v>366</v>
      </c>
      <c r="B23" s="49" t="s">
        <v>26</v>
      </c>
      <c r="C23" s="50">
        <v>14436</v>
      </c>
      <c r="D23" s="50">
        <v>16244</v>
      </c>
      <c r="E23" s="50">
        <v>10482</v>
      </c>
      <c r="F23" s="51">
        <f t="shared" si="1"/>
        <v>72.61014131338321</v>
      </c>
      <c r="G23" s="51">
        <f t="shared" si="2"/>
        <v>64.528441270622992</v>
      </c>
      <c r="K23" s="56" t="s">
        <v>196</v>
      </c>
      <c r="L23" s="56"/>
      <c r="M23" s="76">
        <f>(M16+M7+M4)</f>
        <v>301.52416052416049</v>
      </c>
      <c r="N23" s="76">
        <f>(N16+N7+N4)</f>
        <v>1396.8</v>
      </c>
      <c r="O23" s="76">
        <f>(O16+O7+O4)</f>
        <v>0.81</v>
      </c>
      <c r="P23" s="76">
        <f>(P16+P7+P4)</f>
        <v>276.654</v>
      </c>
      <c r="Q23" s="79" t="s">
        <v>645</v>
      </c>
      <c r="R23" s="56"/>
    </row>
    <row r="24" spans="1:18">
      <c r="A24" s="49" t="s">
        <v>367</v>
      </c>
      <c r="B24" s="49" t="s">
        <v>26</v>
      </c>
      <c r="C24" s="50">
        <v>17924</v>
      </c>
      <c r="D24" s="50">
        <v>20152</v>
      </c>
      <c r="E24" s="50">
        <v>11923</v>
      </c>
      <c r="F24" s="51">
        <f t="shared" si="1"/>
        <v>66.519750055791121</v>
      </c>
      <c r="G24" s="51">
        <f t="shared" si="2"/>
        <v>59.165343390234213</v>
      </c>
      <c r="K24" s="56" t="s">
        <v>197</v>
      </c>
      <c r="L24" s="44"/>
      <c r="M24" s="44">
        <f>(1*M5)</f>
        <v>0</v>
      </c>
      <c r="N24" s="81">
        <f>(1*N5)</f>
        <v>4358.0214000000005</v>
      </c>
      <c r="O24" s="44">
        <f>(1*O5)</f>
        <v>1</v>
      </c>
      <c r="P24" s="81">
        <f>(1*P5)</f>
        <v>4358.0214000000005</v>
      </c>
      <c r="Q24" s="82" t="s">
        <v>198</v>
      </c>
      <c r="R24" s="56"/>
    </row>
    <row r="25" spans="1:18">
      <c r="A25" s="49" t="s">
        <v>466</v>
      </c>
      <c r="B25" s="49"/>
      <c r="C25" s="50">
        <v>43763</v>
      </c>
      <c r="D25" s="50">
        <v>42791</v>
      </c>
      <c r="E25" s="50">
        <v>11207</v>
      </c>
      <c r="F25" s="51">
        <f t="shared" si="1"/>
        <v>25.608390649635538</v>
      </c>
      <c r="G25" s="51">
        <f t="shared" si="2"/>
        <v>26.190086700474396</v>
      </c>
      <c r="K25" s="56" t="s">
        <v>195</v>
      </c>
      <c r="L25" s="56"/>
      <c r="M25" s="76">
        <f>(M19+M17+M12+M11+M8)</f>
        <v>0</v>
      </c>
      <c r="N25" s="76">
        <f>(N19+N17+N12+N11+N8)</f>
        <v>34.5</v>
      </c>
      <c r="O25" s="76">
        <f>(O19+O17+O12+O11+O8)</f>
        <v>8.6</v>
      </c>
      <c r="P25" s="76">
        <f>(P19+P17+P12+P11+P8)</f>
        <v>67.180000000000007</v>
      </c>
      <c r="Q25" s="58" t="s">
        <v>644</v>
      </c>
      <c r="R25" s="56"/>
    </row>
    <row r="26" spans="1:18">
      <c r="A26" s="49" t="s">
        <v>467</v>
      </c>
      <c r="B26" s="49" t="s">
        <v>26</v>
      </c>
      <c r="C26" s="50">
        <v>14202</v>
      </c>
      <c r="D26" s="50">
        <v>15655</v>
      </c>
      <c r="E26" s="50">
        <v>10369</v>
      </c>
      <c r="F26" s="51">
        <f t="shared" si="1"/>
        <v>73.010843543162935</v>
      </c>
      <c r="G26" s="51">
        <f t="shared" si="2"/>
        <v>66.234429894602371</v>
      </c>
      <c r="K26" s="69"/>
      <c r="L26" s="69"/>
      <c r="M26" s="70"/>
      <c r="N26" s="74"/>
      <c r="O26" s="72"/>
      <c r="P26" s="72"/>
      <c r="Q26" s="69"/>
      <c r="R26" s="69"/>
    </row>
    <row r="27" spans="1:18" ht="28.5">
      <c r="A27" s="49" t="s">
        <v>468</v>
      </c>
      <c r="B27" s="49"/>
      <c r="C27" s="49">
        <v>24</v>
      </c>
      <c r="D27" s="49">
        <v>26</v>
      </c>
      <c r="E27" s="49">
        <v>19</v>
      </c>
      <c r="F27" s="51">
        <f t="shared" si="1"/>
        <v>79.166666666666657</v>
      </c>
      <c r="G27" s="51">
        <f t="shared" si="2"/>
        <v>73.076923076923066</v>
      </c>
      <c r="K27" s="69"/>
      <c r="L27" s="69"/>
      <c r="M27" s="70"/>
      <c r="N27" s="74"/>
      <c r="O27" s="72"/>
      <c r="P27" s="72"/>
      <c r="Q27" s="69"/>
      <c r="R27" s="69"/>
    </row>
    <row r="28" spans="1:18">
      <c r="A28" s="49" t="s">
        <v>619</v>
      </c>
      <c r="B28" s="49"/>
      <c r="C28" s="50">
        <v>46697</v>
      </c>
      <c r="D28" s="50">
        <v>47370</v>
      </c>
      <c r="E28" s="50">
        <v>12517</v>
      </c>
      <c r="F28" s="51">
        <f t="shared" si="1"/>
        <v>26.804719789279822</v>
      </c>
      <c r="G28" s="51">
        <f t="shared" si="2"/>
        <v>26.423896981211737</v>
      </c>
      <c r="K28" s="69"/>
      <c r="L28" s="69"/>
      <c r="M28" s="70"/>
      <c r="N28" s="74"/>
      <c r="O28" s="72"/>
      <c r="P28" s="72"/>
      <c r="Q28" s="69"/>
      <c r="R28" s="69"/>
    </row>
    <row r="29" spans="1:18">
      <c r="A29" s="49" t="s">
        <v>620</v>
      </c>
      <c r="B29" s="49" t="s">
        <v>26</v>
      </c>
      <c r="C29" s="50">
        <v>14340</v>
      </c>
      <c r="D29" s="50">
        <v>16020</v>
      </c>
      <c r="E29" s="50">
        <v>9131</v>
      </c>
      <c r="F29" s="51">
        <f t="shared" si="1"/>
        <v>63.675034867503491</v>
      </c>
      <c r="G29" s="51">
        <f t="shared" si="2"/>
        <v>56.997503121098624</v>
      </c>
      <c r="K29" s="69"/>
      <c r="L29" s="69"/>
      <c r="M29" s="70"/>
      <c r="N29" s="74"/>
      <c r="O29" s="72"/>
      <c r="P29" s="72"/>
      <c r="Q29" s="69"/>
      <c r="R29" s="69"/>
    </row>
    <row r="30" spans="1:18">
      <c r="A30" s="49" t="s">
        <v>621</v>
      </c>
      <c r="B30" s="49"/>
      <c r="C30" s="50">
        <v>17693</v>
      </c>
      <c r="D30" s="50">
        <v>12398</v>
      </c>
      <c r="E30" s="49">
        <v>233</v>
      </c>
      <c r="F30" s="51">
        <f t="shared" si="1"/>
        <v>1.316904990674278</v>
      </c>
      <c r="G30" s="51">
        <f t="shared" si="2"/>
        <v>1.8793353766736569</v>
      </c>
      <c r="K30" s="69"/>
      <c r="L30" s="69"/>
      <c r="M30" s="70"/>
      <c r="N30" s="74"/>
      <c r="O30" s="72"/>
      <c r="P30" s="72"/>
      <c r="Q30" s="69"/>
      <c r="R30" s="69"/>
    </row>
    <row r="31" spans="1:18">
      <c r="A31" s="49" t="s">
        <v>622</v>
      </c>
      <c r="B31" s="49"/>
      <c r="C31" s="49">
        <v>39</v>
      </c>
      <c r="D31" s="49">
        <v>39</v>
      </c>
      <c r="E31" s="49">
        <v>6</v>
      </c>
      <c r="F31" s="51">
        <f t="shared" si="1"/>
        <v>15.384615384615385</v>
      </c>
      <c r="G31" s="51">
        <f t="shared" si="2"/>
        <v>15.384615384615385</v>
      </c>
      <c r="K31" s="69"/>
      <c r="L31" s="69"/>
      <c r="M31" s="70"/>
      <c r="N31" s="74"/>
      <c r="O31" s="72"/>
      <c r="P31" s="72"/>
      <c r="Q31" s="69"/>
      <c r="R31" s="69"/>
    </row>
    <row r="32" spans="1:18">
      <c r="A32" s="49" t="s">
        <v>623</v>
      </c>
      <c r="B32" s="49"/>
      <c r="C32" s="50">
        <v>27086</v>
      </c>
      <c r="D32" s="50">
        <v>28258</v>
      </c>
      <c r="E32" s="50">
        <v>14522</v>
      </c>
      <c r="F32" s="51">
        <f t="shared" si="1"/>
        <v>53.614413350070144</v>
      </c>
      <c r="G32" s="51">
        <f t="shared" si="2"/>
        <v>51.390756599900911</v>
      </c>
      <c r="K32" s="69"/>
      <c r="L32" s="69"/>
      <c r="M32" s="70"/>
      <c r="N32" s="74"/>
      <c r="O32" s="72"/>
      <c r="P32" s="72"/>
      <c r="Q32" s="69"/>
      <c r="R32" s="69"/>
    </row>
    <row r="33" spans="1:18" ht="28.5">
      <c r="A33" s="49" t="s">
        <v>624</v>
      </c>
      <c r="B33" s="49"/>
      <c r="C33" s="49">
        <v>730</v>
      </c>
      <c r="D33" s="49">
        <v>745</v>
      </c>
      <c r="E33" s="49">
        <v>139</v>
      </c>
      <c r="F33" s="51">
        <f t="shared" si="1"/>
        <v>19.041095890410958</v>
      </c>
      <c r="G33" s="51">
        <f t="shared" si="2"/>
        <v>18.65771812080537</v>
      </c>
      <c r="K33" s="69"/>
      <c r="L33" s="69"/>
      <c r="M33" s="70"/>
      <c r="N33" s="74"/>
      <c r="O33" s="72"/>
      <c r="P33" s="72"/>
      <c r="Q33" s="69"/>
      <c r="R33" s="69"/>
    </row>
    <row r="34" spans="1:18">
      <c r="A34" s="49" t="s">
        <v>127</v>
      </c>
      <c r="B34" s="49"/>
      <c r="C34" s="50">
        <v>2401</v>
      </c>
      <c r="D34" s="50">
        <v>2442</v>
      </c>
      <c r="E34" s="50">
        <v>2330</v>
      </c>
      <c r="F34" s="51">
        <f t="shared" si="1"/>
        <v>97.042898792169936</v>
      </c>
      <c r="G34" s="51">
        <f t="shared" si="2"/>
        <v>95.413595413595402</v>
      </c>
      <c r="K34" s="69"/>
      <c r="L34" s="69"/>
      <c r="M34" s="70"/>
      <c r="N34" s="74"/>
      <c r="O34" s="72"/>
      <c r="P34" s="72"/>
      <c r="Q34" s="69"/>
      <c r="R34" s="69"/>
    </row>
    <row r="35" spans="1:18">
      <c r="A35" s="49" t="s">
        <v>128</v>
      </c>
      <c r="B35" s="49"/>
      <c r="C35" s="50">
        <v>3265630</v>
      </c>
      <c r="D35" s="50">
        <v>3295629</v>
      </c>
      <c r="E35" s="50">
        <v>284727</v>
      </c>
      <c r="F35" s="51">
        <f t="shared" si="1"/>
        <v>8.7188995691489861</v>
      </c>
      <c r="G35" s="51">
        <f t="shared" si="2"/>
        <v>8.6395343650635432</v>
      </c>
      <c r="K35" s="69"/>
      <c r="L35" s="69"/>
      <c r="M35" s="70"/>
      <c r="N35" s="74"/>
      <c r="O35" s="72"/>
      <c r="P35" s="72"/>
      <c r="Q35" s="69"/>
      <c r="R35" s="69"/>
    </row>
    <row r="36" spans="1:18">
      <c r="A36" s="49" t="s">
        <v>262</v>
      </c>
      <c r="B36" s="49"/>
      <c r="C36" s="50">
        <v>29830</v>
      </c>
      <c r="D36" s="50">
        <v>29154</v>
      </c>
      <c r="E36" s="50">
        <v>7912</v>
      </c>
      <c r="F36" s="51">
        <f t="shared" si="1"/>
        <v>26.523633925578277</v>
      </c>
      <c r="G36" s="51">
        <f t="shared" si="2"/>
        <v>27.138643067846608</v>
      </c>
      <c r="K36" s="69"/>
      <c r="L36" s="69"/>
      <c r="M36" s="70"/>
      <c r="N36" s="74"/>
      <c r="O36" s="72"/>
      <c r="P36" s="72"/>
      <c r="Q36" s="69"/>
      <c r="R36" s="69"/>
    </row>
    <row r="37" spans="1:18">
      <c r="A37" s="49" t="s">
        <v>449</v>
      </c>
      <c r="B37" s="49"/>
      <c r="C37" s="50">
        <v>16823</v>
      </c>
      <c r="D37" s="50">
        <v>11385</v>
      </c>
      <c r="E37" s="50">
        <v>8980</v>
      </c>
      <c r="F37" s="51">
        <f t="shared" si="1"/>
        <v>53.379302145871719</v>
      </c>
      <c r="G37" s="51">
        <f t="shared" si="2"/>
        <v>78.875713658322354</v>
      </c>
      <c r="K37" s="69"/>
      <c r="L37" s="69"/>
      <c r="M37" s="70"/>
      <c r="N37" s="74"/>
      <c r="O37" s="72"/>
      <c r="P37" s="72"/>
      <c r="Q37" s="69"/>
      <c r="R37" s="69"/>
    </row>
    <row r="38" spans="1:18">
      <c r="A38" s="49" t="s">
        <v>450</v>
      </c>
      <c r="B38" s="49"/>
      <c r="C38" s="50">
        <v>239933</v>
      </c>
      <c r="D38" s="50">
        <v>223933</v>
      </c>
      <c r="E38" s="50">
        <v>86615</v>
      </c>
      <c r="F38" s="51">
        <f t="shared" si="1"/>
        <v>36.099661155405883</v>
      </c>
      <c r="G38" s="51">
        <f t="shared" si="2"/>
        <v>38.678979873444291</v>
      </c>
      <c r="K38" s="69"/>
      <c r="L38" s="69"/>
      <c r="M38" s="70"/>
      <c r="N38" s="74"/>
      <c r="O38" s="72"/>
      <c r="P38" s="72"/>
      <c r="Q38" s="69"/>
      <c r="R38" s="69"/>
    </row>
    <row r="39" spans="1:18">
      <c r="A39" s="49" t="s">
        <v>567</v>
      </c>
      <c r="B39" s="49"/>
      <c r="C39" s="50">
        <v>18568</v>
      </c>
      <c r="D39" s="50">
        <v>20275</v>
      </c>
      <c r="E39" s="50">
        <v>11659</v>
      </c>
      <c r="F39" s="51">
        <f t="shared" si="1"/>
        <v>62.790822921154678</v>
      </c>
      <c r="G39" s="51">
        <f t="shared" si="2"/>
        <v>57.504315659679406</v>
      </c>
      <c r="K39" s="69"/>
      <c r="L39" s="69"/>
      <c r="M39" s="70"/>
      <c r="N39" s="74"/>
      <c r="O39" s="72"/>
      <c r="P39" s="72"/>
      <c r="Q39" s="69"/>
      <c r="R39" s="69"/>
    </row>
    <row r="40" spans="1:18">
      <c r="A40" s="49" t="s">
        <v>568</v>
      </c>
      <c r="B40" s="49"/>
      <c r="C40" s="50">
        <v>48731</v>
      </c>
      <c r="D40" s="50">
        <v>49023</v>
      </c>
      <c r="E40" s="50">
        <v>8585</v>
      </c>
      <c r="F40" s="51">
        <f t="shared" si="1"/>
        <v>17.617122570848124</v>
      </c>
      <c r="G40" s="51">
        <f t="shared" si="2"/>
        <v>17.512188156579565</v>
      </c>
      <c r="K40" s="69"/>
      <c r="L40" s="69"/>
      <c r="M40" s="70"/>
      <c r="N40" s="74"/>
      <c r="O40" s="72"/>
      <c r="P40" s="72"/>
      <c r="Q40" s="69"/>
      <c r="R40" s="69"/>
    </row>
    <row r="41" spans="1:18" ht="28.5">
      <c r="A41" s="49" t="s">
        <v>569</v>
      </c>
      <c r="B41" s="49"/>
      <c r="C41" s="50">
        <v>2811</v>
      </c>
      <c r="D41" s="50">
        <v>2901</v>
      </c>
      <c r="E41" s="50">
        <v>1617</v>
      </c>
      <c r="F41" s="51">
        <f t="shared" si="1"/>
        <v>57.524012806830306</v>
      </c>
      <c r="G41" s="51">
        <f t="shared" si="2"/>
        <v>55.739400206825231</v>
      </c>
      <c r="K41" s="69"/>
      <c r="L41" s="69"/>
      <c r="M41" s="70"/>
      <c r="N41" s="74"/>
      <c r="O41" s="72"/>
      <c r="P41" s="72"/>
      <c r="Q41" s="69"/>
      <c r="R41" s="69"/>
    </row>
    <row r="42" spans="1:18" ht="28.5">
      <c r="A42" s="49" t="s">
        <v>570</v>
      </c>
      <c r="B42" s="49"/>
      <c r="C42" s="50">
        <v>7414</v>
      </c>
      <c r="D42" s="50">
        <v>6517</v>
      </c>
      <c r="E42" s="49">
        <v>823</v>
      </c>
      <c r="F42" s="51">
        <f t="shared" si="1"/>
        <v>11.100620447801457</v>
      </c>
      <c r="G42" s="51">
        <f t="shared" si="2"/>
        <v>12.628510050636796</v>
      </c>
      <c r="K42" s="69"/>
      <c r="L42" s="69"/>
      <c r="M42" s="70"/>
      <c r="N42" s="74"/>
      <c r="O42" s="72"/>
      <c r="P42" s="72"/>
      <c r="Q42" s="69"/>
      <c r="R42" s="69"/>
    </row>
    <row r="43" spans="1:18">
      <c r="A43" s="49" t="s">
        <v>571</v>
      </c>
      <c r="B43" s="49"/>
      <c r="C43" s="50">
        <v>5039</v>
      </c>
      <c r="D43" s="50">
        <v>4939</v>
      </c>
      <c r="E43" s="50">
        <v>1120</v>
      </c>
      <c r="F43" s="51">
        <f t="shared" si="1"/>
        <v>22.226632268307203</v>
      </c>
      <c r="G43" s="51">
        <f t="shared" si="2"/>
        <v>22.676655193358979</v>
      </c>
      <c r="K43" s="69"/>
      <c r="L43" s="69"/>
      <c r="M43" s="70"/>
      <c r="N43" s="74"/>
      <c r="O43" s="72"/>
      <c r="P43" s="72"/>
      <c r="Q43" s="69"/>
      <c r="R43" s="69"/>
    </row>
    <row r="44" spans="1:18">
      <c r="A44" s="49" t="s">
        <v>572</v>
      </c>
      <c r="B44" s="49"/>
      <c r="C44" s="50">
        <v>9295</v>
      </c>
      <c r="D44" s="50">
        <v>8246</v>
      </c>
      <c r="E44" s="50">
        <v>2811</v>
      </c>
      <c r="F44" s="51">
        <f t="shared" si="1"/>
        <v>30.242065626681015</v>
      </c>
      <c r="G44" s="51">
        <f t="shared" si="2"/>
        <v>34.089255396555906</v>
      </c>
      <c r="K44" s="69"/>
      <c r="L44" s="69"/>
      <c r="M44" s="70"/>
      <c r="N44" s="74"/>
      <c r="O44" s="72"/>
      <c r="P44" s="72"/>
      <c r="Q44" s="69"/>
      <c r="R44" s="69"/>
    </row>
    <row r="45" spans="1:18">
      <c r="A45" s="49" t="s">
        <v>573</v>
      </c>
      <c r="B45" s="49"/>
      <c r="C45" s="50">
        <v>46796</v>
      </c>
      <c r="D45" s="50">
        <v>47953</v>
      </c>
      <c r="E45" s="50">
        <v>13254</v>
      </c>
      <c r="F45" s="51">
        <f t="shared" si="1"/>
        <v>28.322933584067012</v>
      </c>
      <c r="G45" s="51">
        <f t="shared" si="2"/>
        <v>27.639563739494921</v>
      </c>
      <c r="K45" s="69"/>
      <c r="L45" s="69"/>
      <c r="M45" s="70"/>
      <c r="N45" s="74"/>
      <c r="O45" s="72"/>
      <c r="P45" s="72"/>
      <c r="Q45" s="69"/>
      <c r="R45" s="69"/>
    </row>
    <row r="46" spans="1:18" ht="15">
      <c r="A46" s="52" t="s">
        <v>574</v>
      </c>
      <c r="B46" s="52"/>
      <c r="C46" s="53">
        <f>SUM(C3:C45)</f>
        <v>4427586</v>
      </c>
      <c r="D46" s="53">
        <f>SUM(D3:D45)</f>
        <v>4427073</v>
      </c>
      <c r="E46" s="53">
        <f>SUM(E3:E45)</f>
        <v>683473</v>
      </c>
      <c r="F46" s="54"/>
      <c r="G46" s="54"/>
      <c r="K46" s="69"/>
      <c r="L46" s="69"/>
      <c r="M46" s="70"/>
      <c r="N46" s="74"/>
      <c r="O46" s="72"/>
      <c r="P46" s="72"/>
      <c r="Q46" s="69"/>
      <c r="R46" s="69"/>
    </row>
    <row r="47" spans="1:18">
      <c r="A47" s="323" t="s">
        <v>742</v>
      </c>
      <c r="B47" s="323"/>
      <c r="C47" s="323"/>
      <c r="D47" s="323"/>
      <c r="E47" s="47"/>
      <c r="F47" s="48"/>
      <c r="G47" s="48"/>
      <c r="K47" s="69"/>
      <c r="L47" s="69"/>
      <c r="M47" s="70"/>
      <c r="N47" s="74"/>
      <c r="O47" s="72"/>
      <c r="P47" s="72"/>
      <c r="Q47" s="69"/>
      <c r="R47" s="69"/>
    </row>
    <row r="48" spans="1:18" ht="14.1" customHeight="1">
      <c r="A48" s="324" t="s">
        <v>77</v>
      </c>
      <c r="B48" s="324"/>
      <c r="C48" s="324"/>
      <c r="D48" s="324"/>
      <c r="E48" s="324"/>
      <c r="F48" s="48"/>
      <c r="G48" s="48"/>
      <c r="M48" s="71"/>
      <c r="N48" s="75"/>
      <c r="O48" s="73"/>
      <c r="P48" s="73"/>
    </row>
    <row r="49" spans="1:20" ht="24" customHeight="1">
      <c r="A49" s="325" t="s">
        <v>704</v>
      </c>
      <c r="B49" s="325"/>
      <c r="C49" s="325"/>
      <c r="D49" s="325"/>
      <c r="E49" s="325"/>
      <c r="F49" s="326"/>
      <c r="G49" s="326"/>
      <c r="K49" s="176" t="s">
        <v>242</v>
      </c>
    </row>
    <row r="50" spans="1:20" ht="91.5" customHeight="1">
      <c r="A50" s="52" t="s">
        <v>575</v>
      </c>
      <c r="B50" s="52" t="s">
        <v>20</v>
      </c>
      <c r="C50" s="52" t="s">
        <v>506</v>
      </c>
      <c r="D50" s="84" t="s">
        <v>154</v>
      </c>
      <c r="E50" s="49" t="s">
        <v>469</v>
      </c>
      <c r="F50" s="84" t="s">
        <v>155</v>
      </c>
      <c r="G50" s="60" t="s">
        <v>470</v>
      </c>
      <c r="H50" s="60" t="s">
        <v>471</v>
      </c>
      <c r="I50" s="49" t="s">
        <v>472</v>
      </c>
      <c r="K50" s="52" t="s">
        <v>575</v>
      </c>
      <c r="L50" s="52" t="s">
        <v>20</v>
      </c>
      <c r="M50" s="52" t="s">
        <v>506</v>
      </c>
      <c r="N50" s="52" t="s">
        <v>451</v>
      </c>
      <c r="O50" s="52" t="s">
        <v>145</v>
      </c>
      <c r="P50" s="84" t="s">
        <v>1236</v>
      </c>
      <c r="Q50" s="84" t="s">
        <v>146</v>
      </c>
      <c r="R50" s="84" t="s">
        <v>147</v>
      </c>
      <c r="S50" s="84" t="s">
        <v>475</v>
      </c>
      <c r="T50" s="84" t="s">
        <v>474</v>
      </c>
    </row>
    <row r="51" spans="1:20" ht="19.5" customHeight="1">
      <c r="A51" s="49" t="s">
        <v>360</v>
      </c>
      <c r="B51" s="49" t="s">
        <v>26</v>
      </c>
      <c r="C51" s="50">
        <v>13464</v>
      </c>
      <c r="D51" s="78">
        <f>(C51/$C$112)*100</f>
        <v>1.9699388271372826</v>
      </c>
      <c r="E51" s="56">
        <v>4737</v>
      </c>
      <c r="F51" s="78">
        <f>(E51/$E$112)*100</f>
        <v>5.4276089646638246</v>
      </c>
      <c r="G51" s="61">
        <v>237</v>
      </c>
      <c r="H51" s="61">
        <v>877</v>
      </c>
      <c r="I51" s="58">
        <v>44</v>
      </c>
      <c r="K51" s="49" t="s">
        <v>360</v>
      </c>
      <c r="L51" s="49" t="s">
        <v>26</v>
      </c>
      <c r="M51" s="50">
        <v>13464</v>
      </c>
      <c r="N51" s="76">
        <f t="shared" ref="N51:N82" si="3">(5/4.72)*M51</f>
        <v>14262.711864406781</v>
      </c>
      <c r="O51" s="101">
        <f ca="1">1*'UK Distances'!F19</f>
        <v>402.7</v>
      </c>
      <c r="P51" s="102">
        <f ca="1">(N51*O51*$B$183)</f>
        <v>9243418.6514440682</v>
      </c>
      <c r="Q51" s="101">
        <f ca="1">1*'UK Distances'!I19</f>
        <v>251.8</v>
      </c>
      <c r="R51" s="101">
        <f>(N51*Q51*$B$183)</f>
        <v>5779718.938250849</v>
      </c>
      <c r="S51" s="45">
        <f>(P51)/$N$112</f>
        <v>12.766835276540844</v>
      </c>
      <c r="T51" s="45">
        <f>(R51)/$N$112</f>
        <v>7.9828386457238274</v>
      </c>
    </row>
    <row r="52" spans="1:20">
      <c r="A52" s="49" t="s">
        <v>364</v>
      </c>
      <c r="B52" s="49" t="s">
        <v>26</v>
      </c>
      <c r="C52" s="50">
        <v>10181</v>
      </c>
      <c r="D52" s="78">
        <f t="shared" ref="D52:D112" si="4">(C52/$C$112)*100</f>
        <v>1.4895979797299965</v>
      </c>
      <c r="E52" s="56">
        <v>5476</v>
      </c>
      <c r="F52" s="78">
        <f t="shared" ref="F52:F112" si="5">(E52/$E$112)*100</f>
        <v>6.274348045281636</v>
      </c>
      <c r="G52" s="61">
        <v>274</v>
      </c>
      <c r="H52" s="61">
        <v>895</v>
      </c>
      <c r="I52" s="58">
        <v>45</v>
      </c>
      <c r="K52" s="49" t="s">
        <v>364</v>
      </c>
      <c r="L52" s="49" t="s">
        <v>26</v>
      </c>
      <c r="M52" s="50">
        <v>10181</v>
      </c>
      <c r="N52" s="76">
        <f t="shared" si="3"/>
        <v>10784.957627118645</v>
      </c>
      <c r="O52" s="101">
        <f ca="1">1*'UK Distances'!F21</f>
        <v>132.12</v>
      </c>
      <c r="P52" s="102">
        <f t="shared" ref="P52:P57" si="6">(N52*O52*$B$183)</f>
        <v>2293168.1086861021</v>
      </c>
      <c r="Q52" s="101">
        <f ca="1">1*'UK Distances'!I21</f>
        <v>102.2</v>
      </c>
      <c r="R52" s="101">
        <f t="shared" ref="R52:R57" si="7">(N52*Q52*$B$183)</f>
        <v>1773855.4398101696</v>
      </c>
      <c r="S52" s="45">
        <f t="shared" ref="S52:S57" si="8">(P52)/$N$112</f>
        <v>3.1672804845248903</v>
      </c>
      <c r="T52" s="45">
        <f t="shared" ref="T52:T57" si="9">(R52)/$N$112</f>
        <v>2.4500156336545849</v>
      </c>
    </row>
    <row r="53" spans="1:20">
      <c r="A53" s="49" t="s">
        <v>366</v>
      </c>
      <c r="B53" s="49" t="s">
        <v>26</v>
      </c>
      <c r="C53" s="50">
        <v>10482</v>
      </c>
      <c r="D53" s="78">
        <f t="shared" si="4"/>
        <v>1.5336377589165922</v>
      </c>
      <c r="E53" s="56">
        <v>5425</v>
      </c>
      <c r="F53" s="78">
        <f t="shared" si="5"/>
        <v>6.2159127366057101</v>
      </c>
      <c r="G53" s="61">
        <v>271</v>
      </c>
      <c r="H53" s="61">
        <v>894</v>
      </c>
      <c r="I53" s="58">
        <v>45</v>
      </c>
      <c r="K53" s="49" t="s">
        <v>366</v>
      </c>
      <c r="L53" s="49" t="s">
        <v>26</v>
      </c>
      <c r="M53" s="50">
        <v>10482</v>
      </c>
      <c r="N53" s="76">
        <f t="shared" si="3"/>
        <v>11103.813559322034</v>
      </c>
      <c r="O53" s="101">
        <f ca="1">1*'UK Distances'!F23</f>
        <v>68.16</v>
      </c>
      <c r="P53" s="102">
        <f t="shared" si="6"/>
        <v>1218009.3664759323</v>
      </c>
      <c r="Q53" s="101">
        <f ca="1">1*'UK Distances'!I23</f>
        <v>103</v>
      </c>
      <c r="R53" s="101">
        <f t="shared" si="7"/>
        <v>1840595.1400677969</v>
      </c>
      <c r="S53" s="45">
        <f t="shared" si="8"/>
        <v>1.6822915344911651</v>
      </c>
      <c r="T53" s="45">
        <f t="shared" si="9"/>
        <v>2.5421952472504405</v>
      </c>
    </row>
    <row r="54" spans="1:20">
      <c r="A54" s="49" t="s">
        <v>367</v>
      </c>
      <c r="B54" s="49" t="s">
        <v>26</v>
      </c>
      <c r="C54" s="50">
        <v>11923</v>
      </c>
      <c r="D54" s="78">
        <f t="shared" si="4"/>
        <v>1.7444727150889647</v>
      </c>
      <c r="E54" s="56">
        <v>3035</v>
      </c>
      <c r="F54" s="78">
        <f t="shared" si="5"/>
        <v>3.4774737614006144</v>
      </c>
      <c r="G54" s="61">
        <v>152</v>
      </c>
      <c r="H54" s="62">
        <v>0</v>
      </c>
      <c r="I54" s="56">
        <v>0</v>
      </c>
      <c r="K54" s="49" t="s">
        <v>367</v>
      </c>
      <c r="L54" s="49" t="s">
        <v>26</v>
      </c>
      <c r="M54" s="50">
        <v>11923</v>
      </c>
      <c r="N54" s="76">
        <f t="shared" si="3"/>
        <v>12630.296610169493</v>
      </c>
      <c r="O54" s="101">
        <f ca="1">1*'UK Distances'!F23</f>
        <v>68.16</v>
      </c>
      <c r="P54" s="102">
        <f t="shared" si="6"/>
        <v>1385453.6993410171</v>
      </c>
      <c r="Q54" s="101">
        <f ca="1">1*'UK Distances'!I23</f>
        <v>103</v>
      </c>
      <c r="R54" s="101">
        <f t="shared" si="7"/>
        <v>2093628.6829830511</v>
      </c>
      <c r="S54" s="45">
        <f t="shared" si="8"/>
        <v>1.9135624848061592</v>
      </c>
      <c r="T54" s="45">
        <f t="shared" si="9"/>
        <v>2.8916803981078991</v>
      </c>
    </row>
    <row r="55" spans="1:20">
      <c r="A55" s="49" t="s">
        <v>467</v>
      </c>
      <c r="B55" s="49" t="s">
        <v>26</v>
      </c>
      <c r="C55" s="50">
        <v>10369</v>
      </c>
      <c r="D55" s="78">
        <f t="shared" si="4"/>
        <v>1.5171045527767739</v>
      </c>
      <c r="E55" s="56">
        <v>4505</v>
      </c>
      <c r="F55" s="78">
        <f t="shared" si="5"/>
        <v>5.1617855997066773</v>
      </c>
      <c r="G55" s="61">
        <v>225</v>
      </c>
      <c r="H55" s="62">
        <v>1246</v>
      </c>
      <c r="I55" s="58">
        <v>62</v>
      </c>
      <c r="K55" s="49" t="s">
        <v>467</v>
      </c>
      <c r="L55" s="49" t="s">
        <v>26</v>
      </c>
      <c r="M55" s="50">
        <v>10369</v>
      </c>
      <c r="N55" s="87">
        <f t="shared" si="3"/>
        <v>10984.110169491527</v>
      </c>
      <c r="O55" s="101">
        <f ca="1">1*'UK Distances'!F24</f>
        <v>315</v>
      </c>
      <c r="P55" s="102">
        <f t="shared" si="6"/>
        <v>5568321.7159322044</v>
      </c>
      <c r="Q55" s="101">
        <f ca="1">1*'UK Distances'!I24</f>
        <v>219.7</v>
      </c>
      <c r="R55" s="101">
        <f t="shared" si="7"/>
        <v>3883683.4317152547</v>
      </c>
      <c r="S55" s="45">
        <f t="shared" si="8"/>
        <v>7.6908607945595522</v>
      </c>
      <c r="T55" s="45">
        <f t="shared" si="9"/>
        <v>5.3640702113166139</v>
      </c>
    </row>
    <row r="56" spans="1:20">
      <c r="A56" s="49" t="s">
        <v>620</v>
      </c>
      <c r="B56" s="49" t="s">
        <v>26</v>
      </c>
      <c r="C56" s="50">
        <v>9131</v>
      </c>
      <c r="D56" s="78">
        <f t="shared" si="4"/>
        <v>1.3359708430325703</v>
      </c>
      <c r="E56" s="56">
        <v>3233</v>
      </c>
      <c r="F56" s="78">
        <f t="shared" si="5"/>
        <v>3.7043402539071448</v>
      </c>
      <c r="G56" s="61">
        <v>161</v>
      </c>
      <c r="H56" s="62">
        <v>195</v>
      </c>
      <c r="I56" s="58">
        <v>10</v>
      </c>
      <c r="K56" s="49" t="s">
        <v>620</v>
      </c>
      <c r="L56" s="49" t="s">
        <v>26</v>
      </c>
      <c r="M56" s="50">
        <v>9131</v>
      </c>
      <c r="N56" s="76">
        <f t="shared" si="3"/>
        <v>9672.6694915254247</v>
      </c>
      <c r="O56" s="101">
        <f ca="1">1*'UK Distances'!F25</f>
        <v>177.76</v>
      </c>
      <c r="P56" s="102">
        <f t="shared" si="6"/>
        <v>2767128.1679837294</v>
      </c>
      <c r="Q56" s="101">
        <f ca="1">1*'UK Distances'!I25</f>
        <v>278</v>
      </c>
      <c r="R56" s="101">
        <f t="shared" si="7"/>
        <v>4327529.4256271189</v>
      </c>
      <c r="S56" s="45">
        <f t="shared" si="8"/>
        <v>3.8219051675437661</v>
      </c>
      <c r="T56" s="45">
        <f t="shared" si="9"/>
        <v>5.9771019159381575</v>
      </c>
    </row>
    <row r="57" spans="1:20">
      <c r="A57" s="49" t="s">
        <v>567</v>
      </c>
      <c r="B57" s="49" t="s">
        <v>26</v>
      </c>
      <c r="C57" s="50">
        <v>11659</v>
      </c>
      <c r="D57" s="78">
        <f t="shared" si="4"/>
        <v>1.705846463576469</v>
      </c>
      <c r="E57" s="57">
        <v>2915</v>
      </c>
      <c r="F57" s="78">
        <f t="shared" si="5"/>
        <v>3.3399789174572621</v>
      </c>
      <c r="G57" s="61">
        <v>146</v>
      </c>
      <c r="H57" s="61">
        <v>0</v>
      </c>
      <c r="I57" s="58">
        <v>0</v>
      </c>
      <c r="K57" s="49" t="s">
        <v>567</v>
      </c>
      <c r="L57" s="49" t="s">
        <v>26</v>
      </c>
      <c r="M57" s="50">
        <v>11659</v>
      </c>
      <c r="N57" s="76">
        <f t="shared" si="3"/>
        <v>12350.635593220341</v>
      </c>
      <c r="O57" s="101">
        <f ca="1">1*'UK Distances'!F34</f>
        <v>145.16</v>
      </c>
      <c r="P57" s="102">
        <f t="shared" si="6"/>
        <v>2885261.3141857632</v>
      </c>
      <c r="Q57" s="101">
        <f ca="1">1*'UK Distances'!I34</f>
        <v>215.3</v>
      </c>
      <c r="R57" s="101">
        <f t="shared" si="7"/>
        <v>4279393.5033355942</v>
      </c>
      <c r="S57" s="45">
        <f t="shared" si="8"/>
        <v>3.9850684380968384</v>
      </c>
      <c r="T57" s="45">
        <f t="shared" si="9"/>
        <v>5.9106174891309546</v>
      </c>
    </row>
    <row r="58" spans="1:20" ht="15">
      <c r="A58" s="52" t="s">
        <v>539</v>
      </c>
      <c r="B58" s="52" t="s">
        <v>26</v>
      </c>
      <c r="C58" s="53">
        <f>AVERAGE(C51:C57)</f>
        <v>11029.857142857143</v>
      </c>
      <c r="D58" s="115">
        <f t="shared" si="4"/>
        <v>1.6137955914655215</v>
      </c>
      <c r="E58" s="53">
        <f>AVERAGE(E51:E57)</f>
        <v>4189.4285714285716</v>
      </c>
      <c r="F58" s="115">
        <f t="shared" si="5"/>
        <v>4.8002068970032674</v>
      </c>
      <c r="G58" s="53">
        <f>AVERAGE(G51:G57)</f>
        <v>209.42857142857142</v>
      </c>
      <c r="H58" s="53">
        <f>AVERAGE(H51:H57)</f>
        <v>586.71428571428567</v>
      </c>
      <c r="I58" s="53">
        <f>AVERAGE(I51:I57)</f>
        <v>29.428571428571427</v>
      </c>
      <c r="K58" s="52" t="s">
        <v>539</v>
      </c>
      <c r="L58" s="52" t="s">
        <v>26</v>
      </c>
      <c r="M58" s="53">
        <f t="shared" ref="M58:R58" si="10">AVERAGE(M51:M57)</f>
        <v>11029.857142857143</v>
      </c>
      <c r="N58" s="53">
        <f t="shared" si="10"/>
        <v>11684.170702179179</v>
      </c>
      <c r="O58" s="53">
        <f t="shared" si="10"/>
        <v>187.00857142857143</v>
      </c>
      <c r="P58" s="53">
        <f t="shared" si="10"/>
        <v>3622965.8605784029</v>
      </c>
      <c r="Q58" s="53">
        <f t="shared" si="10"/>
        <v>181.85714285714286</v>
      </c>
      <c r="R58" s="53">
        <f t="shared" si="10"/>
        <v>3425486.3659699769</v>
      </c>
      <c r="S58" s="45"/>
      <c r="T58" s="44"/>
    </row>
    <row r="59" spans="1:20" ht="15">
      <c r="A59" s="52" t="s">
        <v>1174</v>
      </c>
      <c r="B59" s="52" t="s">
        <v>26</v>
      </c>
      <c r="C59" s="53">
        <f>SUM(C51:C57)</f>
        <v>77209</v>
      </c>
      <c r="D59" s="115">
        <f t="shared" si="4"/>
        <v>11.296569140258651</v>
      </c>
      <c r="E59" s="53">
        <f>SUM(E51:E57)</f>
        <v>29326</v>
      </c>
      <c r="F59" s="115">
        <f t="shared" si="5"/>
        <v>33.601448279022875</v>
      </c>
      <c r="G59" s="53">
        <f>SUM(G51:G57)</f>
        <v>1466</v>
      </c>
      <c r="H59" s="53">
        <f>SUM(H51:H57)</f>
        <v>4107</v>
      </c>
      <c r="I59" s="53">
        <f>SUM(I51:I57)</f>
        <v>206</v>
      </c>
      <c r="K59" s="52" t="s">
        <v>1174</v>
      </c>
      <c r="L59" s="52" t="s">
        <v>26</v>
      </c>
      <c r="M59" s="53">
        <f t="shared" ref="M59:R59" si="11">SUM(M51:M57)</f>
        <v>77209</v>
      </c>
      <c r="N59" s="53">
        <f t="shared" si="11"/>
        <v>81789.194915254251</v>
      </c>
      <c r="O59" s="53">
        <f t="shared" si="11"/>
        <v>1309.06</v>
      </c>
      <c r="P59" s="53">
        <f t="shared" si="11"/>
        <v>25360761.02404882</v>
      </c>
      <c r="Q59" s="53">
        <f t="shared" si="11"/>
        <v>1273</v>
      </c>
      <c r="R59" s="53">
        <f t="shared" si="11"/>
        <v>23978404.561789837</v>
      </c>
      <c r="S59" s="45"/>
      <c r="T59" s="44"/>
    </row>
    <row r="60" spans="1:20">
      <c r="A60" s="49" t="s">
        <v>449</v>
      </c>
      <c r="B60" s="49" t="s">
        <v>325</v>
      </c>
      <c r="C60" s="50">
        <v>8980</v>
      </c>
      <c r="D60" s="78">
        <f t="shared" si="4"/>
        <v>1.313877797659893</v>
      </c>
      <c r="E60" s="56">
        <v>8</v>
      </c>
      <c r="F60" s="78">
        <f t="shared" si="5"/>
        <v>9.1663229295568076E-3</v>
      </c>
      <c r="G60" s="61">
        <v>0</v>
      </c>
      <c r="H60" s="61">
        <v>8</v>
      </c>
      <c r="I60" s="56">
        <v>0</v>
      </c>
      <c r="K60" s="49" t="s">
        <v>449</v>
      </c>
      <c r="L60" s="49" t="s">
        <v>325</v>
      </c>
      <c r="M60" s="50">
        <v>8980</v>
      </c>
      <c r="N60" s="76">
        <f t="shared" si="3"/>
        <v>9512.7118644067796</v>
      </c>
      <c r="O60" s="108">
        <f ca="1">1*'UK Distances'!F32</f>
        <v>373.27</v>
      </c>
      <c r="P60" s="102">
        <f ca="1">(N60*O60*$B$183)</f>
        <v>5714474.7004474578</v>
      </c>
      <c r="Q60" s="108">
        <f ca="1">1*'UK Distances'!I32</f>
        <v>207.7</v>
      </c>
      <c r="R60" s="101">
        <f>(N60*Q60*$B$183)</f>
        <v>3179726.1909152539</v>
      </c>
      <c r="S60" s="45">
        <f>(P60)/$N$112</f>
        <v>7.8927245366274894</v>
      </c>
      <c r="T60" s="45">
        <f>(R60)/$N$112</f>
        <v>4.3917777647749068</v>
      </c>
    </row>
    <row r="61" spans="1:20" ht="15">
      <c r="A61" s="52" t="s">
        <v>1174</v>
      </c>
      <c r="B61" s="52" t="s">
        <v>324</v>
      </c>
      <c r="C61" s="53">
        <f>(1*C60)</f>
        <v>8980</v>
      </c>
      <c r="D61" s="115">
        <f t="shared" si="4"/>
        <v>1.313877797659893</v>
      </c>
      <c r="E61" s="53">
        <f>(1*E60)</f>
        <v>8</v>
      </c>
      <c r="F61" s="115">
        <f t="shared" si="5"/>
        <v>9.1663229295568076E-3</v>
      </c>
      <c r="G61" s="53">
        <f>(1*G60)</f>
        <v>0</v>
      </c>
      <c r="H61" s="53">
        <f>(1*H60)</f>
        <v>8</v>
      </c>
      <c r="I61" s="53">
        <f>(1*I60)</f>
        <v>0</v>
      </c>
      <c r="K61" s="52" t="s">
        <v>1174</v>
      </c>
      <c r="L61" s="52" t="s">
        <v>324</v>
      </c>
      <c r="M61" s="53">
        <f t="shared" ref="M61:R61" si="12">SUM(M60)</f>
        <v>8980</v>
      </c>
      <c r="N61" s="53">
        <f t="shared" si="12"/>
        <v>9512.7118644067796</v>
      </c>
      <c r="O61" s="53">
        <f t="shared" si="12"/>
        <v>373.27</v>
      </c>
      <c r="P61" s="53">
        <f t="shared" si="12"/>
        <v>5714474.7004474578</v>
      </c>
      <c r="Q61" s="53">
        <f t="shared" si="12"/>
        <v>207.7</v>
      </c>
      <c r="R61" s="53">
        <f t="shared" si="12"/>
        <v>3179726.1909152539</v>
      </c>
      <c r="S61" s="45"/>
      <c r="T61" s="44"/>
    </row>
    <row r="62" spans="1:20" ht="18" customHeight="1">
      <c r="A62" s="49" t="s">
        <v>458</v>
      </c>
      <c r="B62" s="49" t="s">
        <v>21</v>
      </c>
      <c r="C62" s="50">
        <v>2664</v>
      </c>
      <c r="D62" s="78">
        <f t="shared" si="4"/>
        <v>0.3897739925351843</v>
      </c>
      <c r="E62" s="56">
        <v>743</v>
      </c>
      <c r="F62" s="78">
        <f t="shared" si="5"/>
        <v>0.85132224208258855</v>
      </c>
      <c r="G62" s="61">
        <v>37</v>
      </c>
      <c r="H62" s="61">
        <v>743</v>
      </c>
      <c r="I62" s="56">
        <v>37</v>
      </c>
      <c r="K62" s="49" t="s">
        <v>458</v>
      </c>
      <c r="L62" s="49" t="s">
        <v>21</v>
      </c>
      <c r="M62" s="50">
        <v>2664</v>
      </c>
      <c r="N62" s="76">
        <f t="shared" si="3"/>
        <v>2822.0338983050851</v>
      </c>
      <c r="O62" s="108">
        <f ca="1">1*'UK Distances'!F5</f>
        <v>297.06</v>
      </c>
      <c r="P62" s="102">
        <f ca="1">(N62*O62*$B$183)</f>
        <v>1349134.6240433902</v>
      </c>
      <c r="Q62" s="108">
        <f ca="1">1*'UK Distances'!I5</f>
        <v>156.1</v>
      </c>
      <c r="R62" s="101">
        <f>(N62*Q62*$B$183)</f>
        <v>708947.40056949167</v>
      </c>
      <c r="S62" s="45">
        <f>(P62)/$N$112</f>
        <v>1.8633992639021004</v>
      </c>
      <c r="T62" s="45">
        <f>(R62)/$N$112</f>
        <v>0.97918476097461071</v>
      </c>
    </row>
    <row r="63" spans="1:20">
      <c r="A63" s="49" t="s">
        <v>28</v>
      </c>
      <c r="B63" s="49" t="s">
        <v>21</v>
      </c>
      <c r="C63" s="50">
        <v>3421</v>
      </c>
      <c r="D63" s="78">
        <f t="shared" si="4"/>
        <v>0.50053184251609062</v>
      </c>
      <c r="E63" s="56">
        <v>113</v>
      </c>
      <c r="F63" s="78">
        <f t="shared" si="5"/>
        <v>0.12947431137998991</v>
      </c>
      <c r="G63" s="61">
        <v>6</v>
      </c>
      <c r="H63" s="61">
        <v>113</v>
      </c>
      <c r="I63" s="56">
        <v>6</v>
      </c>
      <c r="K63" s="49" t="s">
        <v>28</v>
      </c>
      <c r="L63" s="49" t="s">
        <v>21</v>
      </c>
      <c r="M63" s="50">
        <v>3421</v>
      </c>
      <c r="N63" s="76">
        <f t="shared" si="3"/>
        <v>3623.9406779661017</v>
      </c>
      <c r="O63" s="108">
        <f ca="1">1*'UK Distances'!F11</f>
        <v>294.98</v>
      </c>
      <c r="P63" s="102">
        <f ca="1">(N63*O63*$B$183)</f>
        <v>1720372.6766562713</v>
      </c>
      <c r="Q63" s="108">
        <f ca="1">1*'UK Distances'!I11</f>
        <v>198.2</v>
      </c>
      <c r="R63" s="101">
        <f>(N63*Q63*$B$183)</f>
        <v>1155935.5363525425</v>
      </c>
      <c r="S63" s="45">
        <f>(P63)/$N$112</f>
        <v>2.3761462512250229</v>
      </c>
      <c r="T63" s="45">
        <f>(R63)/$N$112</f>
        <v>1.596556332608311</v>
      </c>
    </row>
    <row r="64" spans="1:20" ht="15">
      <c r="A64" s="52" t="s">
        <v>539</v>
      </c>
      <c r="B64" s="52" t="s">
        <v>21</v>
      </c>
      <c r="C64" s="53">
        <f>AVERAGE(C62:C63)</f>
        <v>3042.5</v>
      </c>
      <c r="D64" s="115">
        <f t="shared" si="4"/>
        <v>0.44515291752563746</v>
      </c>
      <c r="E64" s="53">
        <f>AVERAGE(E62:E63)</f>
        <v>428</v>
      </c>
      <c r="F64" s="115">
        <f t="shared" si="5"/>
        <v>0.49039827673128922</v>
      </c>
      <c r="G64" s="53">
        <f>AVERAGE(G62:G63)</f>
        <v>21.5</v>
      </c>
      <c r="H64" s="53">
        <f>AVERAGE(H62:H63)</f>
        <v>428</v>
      </c>
      <c r="I64" s="53">
        <f>AVERAGE(I62:I63)</f>
        <v>21.5</v>
      </c>
      <c r="K64" s="52" t="s">
        <v>539</v>
      </c>
      <c r="L64" s="52" t="s">
        <v>21</v>
      </c>
      <c r="M64" s="53">
        <f t="shared" ref="M64:R64" si="13">AVERAGE(M62:M63)</f>
        <v>3042.5</v>
      </c>
      <c r="N64" s="53">
        <f t="shared" si="13"/>
        <v>3222.9872881355932</v>
      </c>
      <c r="O64" s="53">
        <f t="shared" si="13"/>
        <v>296.02</v>
      </c>
      <c r="P64" s="53">
        <f t="shared" si="13"/>
        <v>1534753.6503498307</v>
      </c>
      <c r="Q64" s="53">
        <f t="shared" si="13"/>
        <v>177.14999999999998</v>
      </c>
      <c r="R64" s="53">
        <f t="shared" si="13"/>
        <v>932441.46846101712</v>
      </c>
      <c r="S64" s="45"/>
      <c r="T64" s="44"/>
    </row>
    <row r="65" spans="1:20" ht="15">
      <c r="A65" s="52" t="s">
        <v>1174</v>
      </c>
      <c r="B65" s="52" t="s">
        <v>21</v>
      </c>
      <c r="C65" s="53">
        <f>SUM(C62:C63)</f>
        <v>6085</v>
      </c>
      <c r="D65" s="115">
        <f t="shared" si="4"/>
        <v>0.89030583505127492</v>
      </c>
      <c r="E65" s="53">
        <f>SUM(E62:E63)</f>
        <v>856</v>
      </c>
      <c r="F65" s="115">
        <f t="shared" si="5"/>
        <v>0.98079655346257844</v>
      </c>
      <c r="G65" s="53">
        <f>SUM(G62:G63)</f>
        <v>43</v>
      </c>
      <c r="H65" s="53">
        <f>SUM(H62:H63)</f>
        <v>856</v>
      </c>
      <c r="I65" s="53">
        <f>SUM(I62:I63)</f>
        <v>43</v>
      </c>
      <c r="K65" s="52" t="s">
        <v>1174</v>
      </c>
      <c r="L65" s="52" t="s">
        <v>21</v>
      </c>
      <c r="M65" s="53">
        <f t="shared" ref="M65:R65" si="14">SUM(M62:M63)</f>
        <v>6085</v>
      </c>
      <c r="N65" s="53">
        <f t="shared" si="14"/>
        <v>6445.9745762711864</v>
      </c>
      <c r="O65" s="53">
        <f t="shared" si="14"/>
        <v>592.04</v>
      </c>
      <c r="P65" s="53">
        <f t="shared" si="14"/>
        <v>3069507.3006996615</v>
      </c>
      <c r="Q65" s="53">
        <f t="shared" si="14"/>
        <v>354.29999999999995</v>
      </c>
      <c r="R65" s="53">
        <f t="shared" si="14"/>
        <v>1864882.9369220342</v>
      </c>
      <c r="S65" s="45"/>
      <c r="T65" s="44"/>
    </row>
    <row r="66" spans="1:20" ht="28.5">
      <c r="A66" s="49" t="s">
        <v>570</v>
      </c>
      <c r="B66" s="49" t="s">
        <v>1172</v>
      </c>
      <c r="C66" s="49">
        <v>823</v>
      </c>
      <c r="D66" s="78">
        <f t="shared" si="4"/>
        <v>0.12041441285903028</v>
      </c>
      <c r="E66" s="56">
        <v>0</v>
      </c>
      <c r="F66" s="78">
        <f t="shared" si="5"/>
        <v>0</v>
      </c>
      <c r="G66" s="61">
        <v>0</v>
      </c>
      <c r="H66" s="61">
        <v>0</v>
      </c>
      <c r="I66" s="56">
        <v>0</v>
      </c>
      <c r="K66" s="49" t="s">
        <v>570</v>
      </c>
      <c r="L66" s="49" t="s">
        <v>1172</v>
      </c>
      <c r="M66" s="49">
        <v>823</v>
      </c>
      <c r="N66" s="76">
        <f t="shared" si="3"/>
        <v>871.82203389830511</v>
      </c>
      <c r="O66" s="108">
        <f ca="1">1*'UK Distances'!F44</f>
        <v>210.11972222222215</v>
      </c>
      <c r="P66" s="102">
        <f ca="1">(N66*O66*$B$183)</f>
        <v>294810.90510542365</v>
      </c>
      <c r="Q66" s="108">
        <f ca="1">1*'UK Distances'!I44</f>
        <v>192.37777777777777</v>
      </c>
      <c r="R66" s="101">
        <f>(N66*Q66*$B$183)</f>
        <v>269917.8648677966</v>
      </c>
      <c r="S66" s="45">
        <f>(P66)/$N$112</f>
        <v>0.40718725453605326</v>
      </c>
      <c r="T66" s="45">
        <f>(R66)/$N$112</f>
        <v>0.37280545747264338</v>
      </c>
    </row>
    <row r="67" spans="1:20" ht="15">
      <c r="A67" s="52" t="s">
        <v>1174</v>
      </c>
      <c r="B67" s="52" t="s">
        <v>326</v>
      </c>
      <c r="C67" s="52">
        <f>(1*C66)</f>
        <v>823</v>
      </c>
      <c r="D67" s="115">
        <f t="shared" si="4"/>
        <v>0.12041441285903028</v>
      </c>
      <c r="E67" s="52">
        <f>(1*E66)</f>
        <v>0</v>
      </c>
      <c r="F67" s="115">
        <f t="shared" si="5"/>
        <v>0</v>
      </c>
      <c r="G67" s="52">
        <f>(1*G66)</f>
        <v>0</v>
      </c>
      <c r="H67" s="52">
        <f>(1*H66)</f>
        <v>0</v>
      </c>
      <c r="I67" s="52">
        <f>(1*I66)</f>
        <v>0</v>
      </c>
      <c r="K67" s="52" t="s">
        <v>1174</v>
      </c>
      <c r="L67" s="52" t="s">
        <v>326</v>
      </c>
      <c r="M67" s="52">
        <f t="shared" ref="M67:R67" si="15">SUM(M66)</f>
        <v>823</v>
      </c>
      <c r="N67" s="53">
        <f t="shared" si="15"/>
        <v>871.82203389830511</v>
      </c>
      <c r="O67" s="53">
        <f t="shared" si="15"/>
        <v>210.11972222222215</v>
      </c>
      <c r="P67" s="53">
        <f t="shared" si="15"/>
        <v>294810.90510542365</v>
      </c>
      <c r="Q67" s="53">
        <f t="shared" si="15"/>
        <v>192.37777777777777</v>
      </c>
      <c r="R67" s="53">
        <f t="shared" si="15"/>
        <v>269917.8648677966</v>
      </c>
      <c r="S67" s="45"/>
      <c r="T67" s="44"/>
    </row>
    <row r="68" spans="1:20">
      <c r="A68" s="49" t="s">
        <v>454</v>
      </c>
      <c r="B68" s="49" t="s">
        <v>22</v>
      </c>
      <c r="C68" s="50">
        <v>8964</v>
      </c>
      <c r="D68" s="78">
        <f t="shared" si="4"/>
        <v>1.3115368127197415</v>
      </c>
      <c r="E68" s="57">
        <v>2704</v>
      </c>
      <c r="F68" s="78">
        <f t="shared" si="5"/>
        <v>3.0982171501902012</v>
      </c>
      <c r="G68" s="61">
        <v>135</v>
      </c>
      <c r="H68" s="62">
        <v>2704</v>
      </c>
      <c r="I68" s="56">
        <v>135</v>
      </c>
      <c r="K68" s="49" t="s">
        <v>454</v>
      </c>
      <c r="L68" s="49" t="s">
        <v>22</v>
      </c>
      <c r="M68" s="50">
        <v>8964</v>
      </c>
      <c r="N68" s="76">
        <f t="shared" si="3"/>
        <v>9495.7627118644068</v>
      </c>
      <c r="O68" s="108">
        <f ca="1">1*'UK Distances'!F4</f>
        <v>303.07</v>
      </c>
      <c r="P68" s="102">
        <f t="shared" ref="P68:P77" si="16">(N68*O68*$B$183)</f>
        <v>4631500.2063783053</v>
      </c>
      <c r="Q68" s="108">
        <f ca="1">1*'UK Distances'!I4</f>
        <v>177.6</v>
      </c>
      <c r="R68" s="101">
        <f t="shared" ref="R68:R77" si="17">(N68*Q68*$B$183)</f>
        <v>2714074.0972474576</v>
      </c>
      <c r="S68" s="45">
        <f t="shared" ref="S68:S77" si="18">(P68)/$N$112</f>
        <v>6.3969406177290402</v>
      </c>
      <c r="T68" s="45">
        <f t="shared" ref="T68:T77" si="19">(R68)/$N$112</f>
        <v>3.7486278869854406</v>
      </c>
    </row>
    <row r="69" spans="1:20">
      <c r="A69" s="49" t="s">
        <v>455</v>
      </c>
      <c r="B69" s="49" t="s">
        <v>22</v>
      </c>
      <c r="C69" s="49">
        <v>20</v>
      </c>
      <c r="D69" s="78">
        <f t="shared" si="4"/>
        <v>2.9262311751890708E-3</v>
      </c>
      <c r="E69" s="56">
        <v>20</v>
      </c>
      <c r="F69" s="78">
        <f t="shared" si="5"/>
        <v>2.2915807323892021E-2</v>
      </c>
      <c r="G69" s="61">
        <v>1</v>
      </c>
      <c r="H69" s="61">
        <v>20</v>
      </c>
      <c r="I69" s="56">
        <v>1</v>
      </c>
      <c r="K69" s="49" t="s">
        <v>455</v>
      </c>
      <c r="L69" s="49" t="s">
        <v>22</v>
      </c>
      <c r="M69" s="49">
        <v>20</v>
      </c>
      <c r="N69" s="76">
        <f t="shared" si="3"/>
        <v>21.186440677966104</v>
      </c>
      <c r="O69" s="108">
        <f ca="1">1*'UK Distances'!F6</f>
        <v>36.54</v>
      </c>
      <c r="P69" s="102">
        <f t="shared" si="16"/>
        <v>1245.8777491525425</v>
      </c>
      <c r="Q69" s="108">
        <f ca="1">1*'UK Distances'!I6</f>
        <v>142</v>
      </c>
      <c r="R69" s="101">
        <f t="shared" si="17"/>
        <v>4841.6705084745772</v>
      </c>
      <c r="S69" s="45">
        <f t="shared" si="18"/>
        <v>1.7207828183410318E-3</v>
      </c>
      <c r="T69" s="45">
        <f t="shared" si="19"/>
        <v>6.6872238698529431E-3</v>
      </c>
    </row>
    <row r="70" spans="1:20">
      <c r="A70" s="49" t="s">
        <v>618</v>
      </c>
      <c r="B70" s="49" t="s">
        <v>22</v>
      </c>
      <c r="C70" s="50">
        <v>208</v>
      </c>
      <c r="D70" s="78">
        <f t="shared" si="4"/>
        <v>3.0432804221966338E-2</v>
      </c>
      <c r="E70" s="56">
        <v>41</v>
      </c>
      <c r="F70" s="78">
        <f t="shared" si="5"/>
        <v>4.6977405013978644E-2</v>
      </c>
      <c r="G70" s="61">
        <v>2</v>
      </c>
      <c r="H70" s="61">
        <v>41</v>
      </c>
      <c r="I70" s="56">
        <v>2</v>
      </c>
      <c r="K70" s="49" t="s">
        <v>618</v>
      </c>
      <c r="L70" s="49" t="s">
        <v>22</v>
      </c>
      <c r="M70" s="50">
        <v>208</v>
      </c>
      <c r="N70" s="76">
        <f t="shared" si="3"/>
        <v>220.33898305084747</v>
      </c>
      <c r="O70" s="108">
        <f ca="1">1*'UK Distances'!F13</f>
        <v>177.1</v>
      </c>
      <c r="P70" s="102">
        <f t="shared" si="16"/>
        <v>62799.876122033907</v>
      </c>
      <c r="Q70" s="108">
        <f ca="1">1*'UK Distances'!I13</f>
        <v>281.10000000000002</v>
      </c>
      <c r="R70" s="101">
        <f t="shared" si="17"/>
        <v>99678.403037288168</v>
      </c>
      <c r="S70" s="45">
        <f t="shared" si="18"/>
        <v>8.6738002904577075E-2</v>
      </c>
      <c r="T70" s="45">
        <f t="shared" si="19"/>
        <v>0.13767392781748516</v>
      </c>
    </row>
    <row r="71" spans="1:20" ht="28.5">
      <c r="A71" s="49" t="s">
        <v>851</v>
      </c>
      <c r="B71" s="49" t="s">
        <v>22</v>
      </c>
      <c r="C71" s="50">
        <v>577</v>
      </c>
      <c r="D71" s="78">
        <f t="shared" si="4"/>
        <v>8.4421769404204705E-2</v>
      </c>
      <c r="E71" s="56">
        <v>92</v>
      </c>
      <c r="F71" s="78">
        <f t="shared" si="5"/>
        <v>0.10541271368990329</v>
      </c>
      <c r="G71" s="61">
        <v>5</v>
      </c>
      <c r="H71" s="61">
        <v>65</v>
      </c>
      <c r="I71" s="56">
        <v>3</v>
      </c>
      <c r="K71" s="49" t="s">
        <v>851</v>
      </c>
      <c r="L71" s="49" t="s">
        <v>22</v>
      </c>
      <c r="M71" s="50">
        <v>577</v>
      </c>
      <c r="N71" s="76">
        <f t="shared" si="3"/>
        <v>611.22881355932202</v>
      </c>
      <c r="O71" s="108">
        <f ca="1">1*'UK Distances'!F16</f>
        <v>398.3</v>
      </c>
      <c r="P71" s="102">
        <f t="shared" si="16"/>
        <v>391798.71787118644</v>
      </c>
      <c r="Q71" s="108">
        <f ca="1">1*'UK Distances'!I16</f>
        <v>293.8</v>
      </c>
      <c r="R71" s="101">
        <f t="shared" si="17"/>
        <v>289004.4270915254</v>
      </c>
      <c r="S71" s="45">
        <f t="shared" si="18"/>
        <v>0.54114498988314097</v>
      </c>
      <c r="T71" s="45">
        <f t="shared" si="19"/>
        <v>0.39916745676039866</v>
      </c>
    </row>
    <row r="72" spans="1:20">
      <c r="A72" s="49" t="s">
        <v>357</v>
      </c>
      <c r="B72" s="49" t="s">
        <v>22</v>
      </c>
      <c r="C72" s="50">
        <v>80</v>
      </c>
      <c r="D72" s="78">
        <f t="shared" si="4"/>
        <v>1.1704924700756283E-2</v>
      </c>
      <c r="E72" s="56">
        <v>59</v>
      </c>
      <c r="F72" s="78">
        <f t="shared" si="5"/>
        <v>6.7601631605481452E-2</v>
      </c>
      <c r="G72" s="61">
        <v>3</v>
      </c>
      <c r="H72" s="61">
        <v>0</v>
      </c>
      <c r="I72" s="56">
        <v>0</v>
      </c>
      <c r="K72" s="49" t="s">
        <v>357</v>
      </c>
      <c r="L72" s="49" t="s">
        <v>22</v>
      </c>
      <c r="M72" s="50">
        <v>80</v>
      </c>
      <c r="N72" s="76">
        <f t="shared" si="3"/>
        <v>84.745762711864415</v>
      </c>
      <c r="O72" s="108">
        <f ca="1">1*'UK Distances'!F17</f>
        <v>176.42</v>
      </c>
      <c r="P72" s="102">
        <f t="shared" si="16"/>
        <v>24061.056650847459</v>
      </c>
      <c r="Q72" s="108">
        <f ca="1">1*'UK Distances'!I17</f>
        <v>94.5</v>
      </c>
      <c r="R72" s="101">
        <f t="shared" si="17"/>
        <v>12888.390508474578</v>
      </c>
      <c r="S72" s="45">
        <f t="shared" si="18"/>
        <v>3.3232677045618483E-2</v>
      </c>
      <c r="T72" s="45">
        <f t="shared" si="19"/>
        <v>1.7801201569045157E-2</v>
      </c>
    </row>
    <row r="73" spans="1:20">
      <c r="A73" s="49" t="s">
        <v>361</v>
      </c>
      <c r="B73" s="49" t="s">
        <v>22</v>
      </c>
      <c r="C73" s="50">
        <v>36</v>
      </c>
      <c r="D73" s="78">
        <f t="shared" si="4"/>
        <v>5.2672161153403275E-3</v>
      </c>
      <c r="E73" s="56">
        <v>0</v>
      </c>
      <c r="F73" s="78">
        <f t="shared" si="5"/>
        <v>0</v>
      </c>
      <c r="G73" s="61">
        <v>0</v>
      </c>
      <c r="H73" s="61">
        <v>0</v>
      </c>
      <c r="I73" s="56">
        <v>0</v>
      </c>
      <c r="K73" s="49" t="s">
        <v>361</v>
      </c>
      <c r="L73" s="49" t="s">
        <v>22</v>
      </c>
      <c r="M73" s="50">
        <v>36</v>
      </c>
      <c r="N73" s="76">
        <f t="shared" si="3"/>
        <v>38.135593220338983</v>
      </c>
      <c r="O73" s="108">
        <f ca="1">1*'UK Distances'!F20</f>
        <v>15.22</v>
      </c>
      <c r="P73" s="102">
        <f t="shared" si="16"/>
        <v>934.10144542372893</v>
      </c>
      <c r="Q73" s="108">
        <f ca="1">1*'UK Distances'!I20</f>
        <v>154.69999999999999</v>
      </c>
      <c r="R73" s="101">
        <f t="shared" si="17"/>
        <v>9494.4476745762713</v>
      </c>
      <c r="S73" s="45">
        <f t="shared" si="18"/>
        <v>1.2901632756231777E-3</v>
      </c>
      <c r="T73" s="45">
        <f t="shared" si="19"/>
        <v>1.3113551822529932E-2</v>
      </c>
    </row>
    <row r="74" spans="1:20" ht="28.5">
      <c r="A74" s="49" t="s">
        <v>468</v>
      </c>
      <c r="B74" s="49" t="s">
        <v>22</v>
      </c>
      <c r="C74" s="49">
        <v>19</v>
      </c>
      <c r="D74" s="78">
        <f t="shared" si="4"/>
        <v>2.7799196164296175E-3</v>
      </c>
      <c r="E74" s="56">
        <v>0</v>
      </c>
      <c r="F74" s="78">
        <f t="shared" si="5"/>
        <v>0</v>
      </c>
      <c r="G74" s="61">
        <v>0</v>
      </c>
      <c r="H74" s="61">
        <v>0</v>
      </c>
      <c r="I74" s="56">
        <v>0</v>
      </c>
      <c r="K74" s="49" t="s">
        <v>468</v>
      </c>
      <c r="L74" s="49" t="s">
        <v>22</v>
      </c>
      <c r="M74" s="49">
        <v>19</v>
      </c>
      <c r="N74" s="76">
        <f t="shared" si="3"/>
        <v>20.127118644067799</v>
      </c>
      <c r="O74" s="108">
        <f ca="1">1*'UK Distances'!F28</f>
        <v>348.7</v>
      </c>
      <c r="P74" s="102">
        <f t="shared" si="16"/>
        <v>11294.901274576274</v>
      </c>
      <c r="Q74" s="108">
        <f ca="1">1*'UK Distances'!I28</f>
        <v>230.3</v>
      </c>
      <c r="R74" s="101">
        <f t="shared" si="17"/>
        <v>7459.7526915254257</v>
      </c>
      <c r="S74" s="45">
        <f t="shared" si="18"/>
        <v>1.5600304332724193E-2</v>
      </c>
      <c r="T74" s="45">
        <f t="shared" si="19"/>
        <v>1.0303269537787157E-2</v>
      </c>
    </row>
    <row r="75" spans="1:20">
      <c r="A75" s="49" t="s">
        <v>622</v>
      </c>
      <c r="B75" s="49" t="s">
        <v>22</v>
      </c>
      <c r="C75" s="49">
        <v>6</v>
      </c>
      <c r="D75" s="78">
        <f t="shared" si="4"/>
        <v>8.7786935255672132E-4</v>
      </c>
      <c r="E75" s="56">
        <v>6</v>
      </c>
      <c r="F75" s="78">
        <f t="shared" si="5"/>
        <v>6.8747421971676066E-3</v>
      </c>
      <c r="G75" s="61">
        <v>0</v>
      </c>
      <c r="H75" s="61">
        <v>6</v>
      </c>
      <c r="I75" s="56">
        <v>0</v>
      </c>
      <c r="K75" s="49" t="s">
        <v>622</v>
      </c>
      <c r="L75" s="49" t="s">
        <v>22</v>
      </c>
      <c r="M75" s="49">
        <v>6</v>
      </c>
      <c r="N75" s="76">
        <f t="shared" si="3"/>
        <v>6.3559322033898304</v>
      </c>
      <c r="O75" s="108">
        <f ca="1">1*'UK Distances'!F44</f>
        <v>210.11972222222215</v>
      </c>
      <c r="P75" s="102">
        <f t="shared" si="16"/>
        <v>2149.2897091525419</v>
      </c>
      <c r="Q75" s="108">
        <f ca="1">1*'UK Distances'!I44</f>
        <v>192.37777777777777</v>
      </c>
      <c r="R75" s="101">
        <f t="shared" si="17"/>
        <v>1967.8094644067799</v>
      </c>
      <c r="S75" s="45">
        <f t="shared" si="18"/>
        <v>2.9685583562774234E-3</v>
      </c>
      <c r="T75" s="45">
        <f t="shared" si="19"/>
        <v>2.7179012695453955E-3</v>
      </c>
    </row>
    <row r="76" spans="1:20" ht="28.5">
      <c r="A76" s="49" t="s">
        <v>624</v>
      </c>
      <c r="B76" s="49" t="s">
        <v>22</v>
      </c>
      <c r="C76" s="49">
        <v>139</v>
      </c>
      <c r="D76" s="78">
        <f t="shared" si="4"/>
        <v>2.0337306667564045E-2</v>
      </c>
      <c r="E76" s="56">
        <v>139</v>
      </c>
      <c r="F76" s="78">
        <f t="shared" si="5"/>
        <v>0.15926486090104955</v>
      </c>
      <c r="G76" s="61">
        <v>7</v>
      </c>
      <c r="H76" s="61">
        <v>0</v>
      </c>
      <c r="I76" s="58">
        <v>0</v>
      </c>
      <c r="K76" s="49" t="s">
        <v>624</v>
      </c>
      <c r="L76" s="49" t="s">
        <v>22</v>
      </c>
      <c r="M76" s="49">
        <v>139</v>
      </c>
      <c r="N76" s="76">
        <f t="shared" si="3"/>
        <v>147.24576271186442</v>
      </c>
      <c r="O76" s="108">
        <f ca="1">1*'UK Distances'!F15</f>
        <v>191.12</v>
      </c>
      <c r="P76" s="102">
        <f t="shared" si="16"/>
        <v>45289.531476610173</v>
      </c>
      <c r="Q76" s="108">
        <f ca="1">1*'UK Distances'!I15</f>
        <v>51.4</v>
      </c>
      <c r="R76" s="101">
        <f t="shared" si="17"/>
        <v>12180.210955932205</v>
      </c>
      <c r="S76" s="45">
        <f t="shared" si="18"/>
        <v>6.2553045568617932E-2</v>
      </c>
      <c r="T76" s="45">
        <f t="shared" si="19"/>
        <v>1.6823077345264555E-2</v>
      </c>
    </row>
    <row r="77" spans="1:20">
      <c r="A77" s="49" t="s">
        <v>127</v>
      </c>
      <c r="B77" s="49" t="s">
        <v>22</v>
      </c>
      <c r="C77" s="50">
        <v>2330</v>
      </c>
      <c r="D77" s="78">
        <f t="shared" si="4"/>
        <v>0.34090593190952678</v>
      </c>
      <c r="E77" s="56">
        <v>9</v>
      </c>
      <c r="F77" s="78">
        <f t="shared" si="5"/>
        <v>1.0312113295751409E-2</v>
      </c>
      <c r="G77" s="61">
        <v>0</v>
      </c>
      <c r="H77" s="61">
        <v>9</v>
      </c>
      <c r="I77" s="56">
        <v>0</v>
      </c>
      <c r="K77" s="49" t="s">
        <v>127</v>
      </c>
      <c r="L77" s="49" t="s">
        <v>22</v>
      </c>
      <c r="M77" s="50">
        <v>2330</v>
      </c>
      <c r="N77" s="76">
        <f t="shared" si="3"/>
        <v>2468.2203389830511</v>
      </c>
      <c r="O77" s="108">
        <f ca="1">1*'UK Distances'!F29</f>
        <v>169.75</v>
      </c>
      <c r="P77" s="102">
        <f t="shared" si="16"/>
        <v>674283.59694915265</v>
      </c>
      <c r="Q77" s="108">
        <f ca="1">1*'UK Distances'!I29</f>
        <v>278.2</v>
      </c>
      <c r="R77" s="101">
        <f t="shared" si="17"/>
        <v>1105070.3780338985</v>
      </c>
      <c r="S77" s="45">
        <f t="shared" si="18"/>
        <v>0.93130777005090193</v>
      </c>
      <c r="T77" s="45">
        <f t="shared" si="19"/>
        <v>1.5263023365429216</v>
      </c>
    </row>
    <row r="78" spans="1:20" ht="15">
      <c r="A78" s="52" t="s">
        <v>539</v>
      </c>
      <c r="B78" s="52" t="s">
        <v>22</v>
      </c>
      <c r="C78" s="53">
        <f>AVERAGE(C68:C77)</f>
        <v>1237.9000000000001</v>
      </c>
      <c r="D78" s="115">
        <f t="shared" si="4"/>
        <v>0.18111907858832757</v>
      </c>
      <c r="E78" s="53">
        <f>AVERAGE(E68:E77)</f>
        <v>307</v>
      </c>
      <c r="F78" s="115">
        <f t="shared" si="5"/>
        <v>0.35175764242174251</v>
      </c>
      <c r="G78" s="53">
        <f>AVERAGE(G68:G77)</f>
        <v>15.3</v>
      </c>
      <c r="H78" s="53">
        <f>AVERAGE(H68:H77)</f>
        <v>284.5</v>
      </c>
      <c r="I78" s="53">
        <f>AVERAGE(I68:I77)</f>
        <v>14.1</v>
      </c>
      <c r="K78" s="52" t="s">
        <v>539</v>
      </c>
      <c r="L78" s="52" t="s">
        <v>22</v>
      </c>
      <c r="M78" s="53">
        <f t="shared" ref="M78:R78" si="20">AVERAGE(M68:M77)</f>
        <v>1237.9000000000001</v>
      </c>
      <c r="N78" s="53">
        <f t="shared" si="20"/>
        <v>1311.3347457627119</v>
      </c>
      <c r="O78" s="53">
        <f t="shared" si="20"/>
        <v>202.63397222222224</v>
      </c>
      <c r="P78" s="53">
        <f t="shared" si="20"/>
        <v>584535.71556264407</v>
      </c>
      <c r="Q78" s="53">
        <f t="shared" si="20"/>
        <v>189.59777777777779</v>
      </c>
      <c r="R78" s="53">
        <f t="shared" si="20"/>
        <v>425665.958721356</v>
      </c>
      <c r="S78" s="45"/>
      <c r="T78" s="44"/>
    </row>
    <row r="79" spans="1:20" ht="15">
      <c r="A79" s="52" t="s">
        <v>1174</v>
      </c>
      <c r="B79" s="52" t="s">
        <v>22</v>
      </c>
      <c r="C79" s="53">
        <f>SUM(C68:C77)</f>
        <v>12379</v>
      </c>
      <c r="D79" s="115">
        <f t="shared" si="4"/>
        <v>1.8111907858832754</v>
      </c>
      <c r="E79" s="53">
        <f>SUM(E68:E77)</f>
        <v>3070</v>
      </c>
      <c r="F79" s="115">
        <f t="shared" si="5"/>
        <v>3.5175764242174252</v>
      </c>
      <c r="G79" s="53">
        <f>SUM(G68:G77)</f>
        <v>153</v>
      </c>
      <c r="H79" s="53">
        <f>SUM(H68:H77)</f>
        <v>2845</v>
      </c>
      <c r="I79" s="53">
        <f>SUM(I68:I77)</f>
        <v>141</v>
      </c>
      <c r="K79" s="52" t="s">
        <v>1174</v>
      </c>
      <c r="L79" s="52" t="s">
        <v>22</v>
      </c>
      <c r="M79" s="53">
        <f t="shared" ref="M79:R79" si="21">SUM(M68:M77)</f>
        <v>12379</v>
      </c>
      <c r="N79" s="53">
        <f t="shared" si="21"/>
        <v>13113.347457627118</v>
      </c>
      <c r="O79" s="53">
        <f t="shared" si="21"/>
        <v>2026.3397222222225</v>
      </c>
      <c r="P79" s="53">
        <f t="shared" si="21"/>
        <v>5845357.1556264404</v>
      </c>
      <c r="Q79" s="53">
        <f t="shared" si="21"/>
        <v>1895.9777777777779</v>
      </c>
      <c r="R79" s="53">
        <f t="shared" si="21"/>
        <v>4256659.58721356</v>
      </c>
      <c r="S79" s="45"/>
      <c r="T79" s="44"/>
    </row>
    <row r="80" spans="1:20" ht="28.5">
      <c r="A80" s="49" t="s">
        <v>354</v>
      </c>
      <c r="B80" s="49" t="s">
        <v>25</v>
      </c>
      <c r="C80" s="50">
        <v>2648</v>
      </c>
      <c r="D80" s="78">
        <f t="shared" si="4"/>
        <v>0.38743300759503302</v>
      </c>
      <c r="E80" s="56">
        <v>647</v>
      </c>
      <c r="F80" s="78">
        <f t="shared" si="5"/>
        <v>0.74132636692790688</v>
      </c>
      <c r="G80" s="61">
        <v>32</v>
      </c>
      <c r="H80" s="61">
        <v>647</v>
      </c>
      <c r="I80" s="56">
        <v>32</v>
      </c>
      <c r="K80" s="49" t="s">
        <v>354</v>
      </c>
      <c r="L80" s="49" t="s">
        <v>25</v>
      </c>
      <c r="M80" s="50">
        <v>2648</v>
      </c>
      <c r="N80" s="76">
        <f t="shared" si="3"/>
        <v>2805.0847457627119</v>
      </c>
      <c r="O80" s="108">
        <f ca="1">1*'UK Distances'!F10</f>
        <v>149.4</v>
      </c>
      <c r="P80" s="102">
        <f ca="1">(N80*O80*$B$183)</f>
        <v>674443.33797966107</v>
      </c>
      <c r="Q80" s="108">
        <f ca="1">1*'UK Distances'!I10</f>
        <v>79.400000000000006</v>
      </c>
      <c r="R80" s="101">
        <f>(N80*Q80*$B$183)</f>
        <v>358439.09662372887</v>
      </c>
      <c r="S80" s="45">
        <f>(P80)/$N$112</f>
        <v>0.93152840134548109</v>
      </c>
      <c r="T80" s="45">
        <f>(R80)/$N$112</f>
        <v>0.49506931102296658</v>
      </c>
    </row>
    <row r="81" spans="1:20" ht="31.5" customHeight="1">
      <c r="A81" s="52" t="s">
        <v>1174</v>
      </c>
      <c r="B81" s="52" t="s">
        <v>504</v>
      </c>
      <c r="C81" s="53">
        <f>(1*C80)</f>
        <v>2648</v>
      </c>
      <c r="D81" s="115">
        <f t="shared" si="4"/>
        <v>0.38743300759503302</v>
      </c>
      <c r="E81" s="53">
        <f>(1*E80)</f>
        <v>647</v>
      </c>
      <c r="F81" s="78">
        <f t="shared" si="5"/>
        <v>0.74132636692790688</v>
      </c>
      <c r="G81" s="53">
        <f>(1*G80)</f>
        <v>32</v>
      </c>
      <c r="H81" s="53">
        <f>(1*H80)</f>
        <v>647</v>
      </c>
      <c r="I81" s="53">
        <f>(1*I80)</f>
        <v>32</v>
      </c>
      <c r="K81" s="52" t="s">
        <v>1174</v>
      </c>
      <c r="L81" s="52" t="s">
        <v>504</v>
      </c>
      <c r="M81" s="53">
        <f t="shared" ref="M81:R81" si="22">SUM(M80)</f>
        <v>2648</v>
      </c>
      <c r="N81" s="53">
        <f t="shared" si="22"/>
        <v>2805.0847457627119</v>
      </c>
      <c r="O81" s="53">
        <f t="shared" si="22"/>
        <v>149.4</v>
      </c>
      <c r="P81" s="53">
        <f t="shared" si="22"/>
        <v>674443.33797966107</v>
      </c>
      <c r="Q81" s="53">
        <f t="shared" si="22"/>
        <v>79.400000000000006</v>
      </c>
      <c r="R81" s="53">
        <f t="shared" si="22"/>
        <v>358439.09662372887</v>
      </c>
      <c r="S81" s="45"/>
      <c r="T81" s="44"/>
    </row>
    <row r="82" spans="1:20">
      <c r="A82" s="49" t="s">
        <v>621</v>
      </c>
      <c r="B82" s="49" t="s">
        <v>29</v>
      </c>
      <c r="C82" s="49">
        <v>233</v>
      </c>
      <c r="D82" s="78">
        <f t="shared" si="4"/>
        <v>3.409059319095268E-2</v>
      </c>
      <c r="E82" s="56">
        <v>13</v>
      </c>
      <c r="F82" s="78">
        <f t="shared" si="5"/>
        <v>1.4895274760529813E-2</v>
      </c>
      <c r="G82" s="61">
        <v>1</v>
      </c>
      <c r="H82" s="61">
        <v>0</v>
      </c>
      <c r="I82" s="56">
        <v>0</v>
      </c>
      <c r="K82" s="49" t="s">
        <v>621</v>
      </c>
      <c r="L82" s="49" t="s">
        <v>29</v>
      </c>
      <c r="M82" s="49">
        <v>233</v>
      </c>
      <c r="N82" s="76">
        <f t="shared" si="3"/>
        <v>246.82203389830511</v>
      </c>
      <c r="O82" s="108">
        <f ca="1">1*'UK Distances'!F26</f>
        <v>5.44</v>
      </c>
      <c r="P82" s="102">
        <f ca="1">(N82*O82*$B$183)</f>
        <v>2160.8852827118649</v>
      </c>
      <c r="Q82" s="108">
        <f ca="1">1*'UK Distances'!I26</f>
        <v>162.1</v>
      </c>
      <c r="R82" s="101">
        <f>(N82*Q82*$B$183)</f>
        <v>64389.614766101702</v>
      </c>
      <c r="S82" s="45">
        <f>(P82)/$N$112</f>
        <v>2.9845739434915504E-3</v>
      </c>
      <c r="T82" s="45">
        <f>(R82)/$N$112</f>
        <v>8.8933719897055188E-2</v>
      </c>
    </row>
    <row r="83" spans="1:20" ht="15">
      <c r="A83" s="52" t="s">
        <v>1174</v>
      </c>
      <c r="B83" s="52" t="s">
        <v>327</v>
      </c>
      <c r="C83" s="52">
        <f>(1*C82)</f>
        <v>233</v>
      </c>
      <c r="D83" s="78">
        <f t="shared" si="4"/>
        <v>3.409059319095268E-2</v>
      </c>
      <c r="E83" s="56"/>
      <c r="F83" s="78">
        <f t="shared" si="5"/>
        <v>0</v>
      </c>
      <c r="G83" s="61"/>
      <c r="H83" s="61"/>
      <c r="I83" s="56"/>
      <c r="K83" s="52" t="s">
        <v>1174</v>
      </c>
      <c r="L83" s="52" t="s">
        <v>327</v>
      </c>
      <c r="M83" s="53">
        <f t="shared" ref="M83:R83" si="23">SUM(M82)</f>
        <v>233</v>
      </c>
      <c r="N83" s="53">
        <f t="shared" si="23"/>
        <v>246.82203389830511</v>
      </c>
      <c r="O83" s="53">
        <f t="shared" si="23"/>
        <v>5.44</v>
      </c>
      <c r="P83" s="53">
        <f t="shared" si="23"/>
        <v>2160.8852827118649</v>
      </c>
      <c r="Q83" s="53">
        <f t="shared" si="23"/>
        <v>162.1</v>
      </c>
      <c r="R83" s="53">
        <f t="shared" si="23"/>
        <v>64389.614766101702</v>
      </c>
      <c r="S83" s="45"/>
      <c r="T83" s="44"/>
    </row>
    <row r="84" spans="1:20">
      <c r="A84" s="49" t="s">
        <v>456</v>
      </c>
      <c r="B84" s="49" t="s">
        <v>24</v>
      </c>
      <c r="C84" s="50">
        <v>9036</v>
      </c>
      <c r="D84" s="78">
        <f t="shared" si="4"/>
        <v>1.3220712449504224</v>
      </c>
      <c r="E84" s="56">
        <v>48</v>
      </c>
      <c r="F84" s="78">
        <f t="shared" si="5"/>
        <v>5.4997937577340852E-2</v>
      </c>
      <c r="G84" s="61">
        <v>2</v>
      </c>
      <c r="H84" s="61">
        <v>44</v>
      </c>
      <c r="I84" s="56">
        <v>2</v>
      </c>
      <c r="K84" s="49" t="s">
        <v>456</v>
      </c>
      <c r="L84" s="49" t="s">
        <v>24</v>
      </c>
      <c r="M84" s="50">
        <v>9036</v>
      </c>
      <c r="N84" s="76">
        <f t="shared" ref="N84:N112" si="24">(5/4.72)*M84</f>
        <v>9572.033898305086</v>
      </c>
      <c r="O84" s="108">
        <f ca="1">1*'UK Distances'!F7</f>
        <v>266.39999999999998</v>
      </c>
      <c r="P84" s="102">
        <f t="shared" ref="P84:P94" si="25">(N84*O84*$B$183)</f>
        <v>4103810.833789831</v>
      </c>
      <c r="Q84" s="108">
        <f ca="1">1*'UK Distances'!I7</f>
        <v>162</v>
      </c>
      <c r="R84" s="101">
        <f t="shared" ref="R84:R94" si="26">(N84*Q84*$B$183)</f>
        <v>2495560.6421694919</v>
      </c>
      <c r="S84" s="45">
        <f t="shared" ref="S84:S94" si="27">(P84)/$N$112</f>
        <v>5.6681060218876249</v>
      </c>
      <c r="T84" s="45">
        <f t="shared" ref="T84:T94" si="28">(R84)/$N$112</f>
        <v>3.4468212295262584</v>
      </c>
    </row>
    <row r="85" spans="1:20">
      <c r="A85" s="49" t="s">
        <v>457</v>
      </c>
      <c r="B85" s="49" t="s">
        <v>24</v>
      </c>
      <c r="C85" s="50">
        <v>9059</v>
      </c>
      <c r="D85" s="78">
        <f t="shared" si="4"/>
        <v>1.3254364108018897</v>
      </c>
      <c r="E85" s="56">
        <v>386</v>
      </c>
      <c r="F85" s="78">
        <f t="shared" si="5"/>
        <v>0.44227508135111598</v>
      </c>
      <c r="G85" s="61">
        <v>19</v>
      </c>
      <c r="H85" s="61">
        <v>386</v>
      </c>
      <c r="I85" s="56">
        <v>19</v>
      </c>
      <c r="K85" s="49" t="s">
        <v>457</v>
      </c>
      <c r="L85" s="49" t="s">
        <v>24</v>
      </c>
      <c r="M85" s="50">
        <v>9059</v>
      </c>
      <c r="N85" s="76">
        <f t="shared" si="24"/>
        <v>9596.3983050847455</v>
      </c>
      <c r="O85" s="108">
        <f ca="1">1*'UK Distances'!F8</f>
        <v>365.8</v>
      </c>
      <c r="P85" s="102">
        <f t="shared" si="25"/>
        <v>5649380.8272000002</v>
      </c>
      <c r="Q85" s="108">
        <f ca="1">1*'UK Distances'!I8</f>
        <v>215.7</v>
      </c>
      <c r="R85" s="101">
        <f t="shared" si="26"/>
        <v>3331250.5315118642</v>
      </c>
      <c r="S85" s="45">
        <f t="shared" si="27"/>
        <v>7.8028181082161261</v>
      </c>
      <c r="T85" s="45">
        <f t="shared" si="28"/>
        <v>4.6010603224226845</v>
      </c>
    </row>
    <row r="86" spans="1:20">
      <c r="A86" s="49" t="s">
        <v>353</v>
      </c>
      <c r="B86" s="49" t="s">
        <v>24</v>
      </c>
      <c r="C86" s="50">
        <v>21592</v>
      </c>
      <c r="D86" s="78">
        <f t="shared" si="4"/>
        <v>3.1591591767341214</v>
      </c>
      <c r="E86" s="56">
        <v>87</v>
      </c>
      <c r="F86" s="78">
        <f t="shared" si="5"/>
        <v>9.9683761858930284E-2</v>
      </c>
      <c r="G86" s="61">
        <v>4</v>
      </c>
      <c r="H86" s="61">
        <v>87</v>
      </c>
      <c r="I86" s="56">
        <v>4</v>
      </c>
      <c r="K86" s="49" t="s">
        <v>353</v>
      </c>
      <c r="L86" s="49" t="s">
        <v>24</v>
      </c>
      <c r="M86" s="50">
        <v>21592</v>
      </c>
      <c r="N86" s="86">
        <f t="shared" si="24"/>
        <v>22872.881355932204</v>
      </c>
      <c r="O86" s="108">
        <f ca="1">1*'UK Distances'!F9</f>
        <v>2</v>
      </c>
      <c r="P86" s="102">
        <f t="shared" si="25"/>
        <v>73620.668745762727</v>
      </c>
      <c r="Q86" s="108">
        <f ca="1">1*'UK Distances'!I9</f>
        <v>168.3</v>
      </c>
      <c r="R86" s="101">
        <f t="shared" si="26"/>
        <v>6195179.274955933</v>
      </c>
      <c r="S86" s="45">
        <f t="shared" si="27"/>
        <v>0.10168347732243997</v>
      </c>
      <c r="T86" s="45">
        <f t="shared" si="28"/>
        <v>8.5566646166833227</v>
      </c>
    </row>
    <row r="87" spans="1:20">
      <c r="A87" s="49" t="s">
        <v>355</v>
      </c>
      <c r="B87" s="49" t="s">
        <v>24</v>
      </c>
      <c r="C87" s="50">
        <v>50890</v>
      </c>
      <c r="D87" s="78">
        <f t="shared" si="4"/>
        <v>7.4457952252685908</v>
      </c>
      <c r="E87" s="56">
        <v>272</v>
      </c>
      <c r="F87" s="78">
        <f t="shared" si="5"/>
        <v>0.31165497960493149</v>
      </c>
      <c r="G87" s="61">
        <v>14</v>
      </c>
      <c r="H87" s="61">
        <v>272</v>
      </c>
      <c r="I87" s="56">
        <v>14</v>
      </c>
      <c r="K87" s="95" t="s">
        <v>586</v>
      </c>
      <c r="L87" s="95" t="s">
        <v>24</v>
      </c>
      <c r="M87" s="109">
        <v>50890</v>
      </c>
      <c r="N87" s="111">
        <f t="shared" si="24"/>
        <v>53908.898305084746</v>
      </c>
      <c r="O87" s="94">
        <f ca="1">1*'UK Distances'!F12</f>
        <v>66.400000000000006</v>
      </c>
      <c r="P87" s="110">
        <f t="shared" si="25"/>
        <v>5760728.6790508479</v>
      </c>
      <c r="Q87" s="94">
        <f ca="1">1*'UK Distances'!I12</f>
        <v>173</v>
      </c>
      <c r="R87" s="94">
        <f t="shared" si="26"/>
        <v>15009127.431864409</v>
      </c>
      <c r="S87" s="45">
        <f t="shared" si="27"/>
        <v>7.9566096583537318</v>
      </c>
      <c r="T87" s="45">
        <f t="shared" si="28"/>
        <v>20.730323356855358</v>
      </c>
    </row>
    <row r="88" spans="1:20">
      <c r="A88" s="49" t="s">
        <v>359</v>
      </c>
      <c r="B88" s="49" t="s">
        <v>24</v>
      </c>
      <c r="C88" s="50">
        <v>8593</v>
      </c>
      <c r="D88" s="78">
        <f t="shared" si="4"/>
        <v>1.2572552244199844</v>
      </c>
      <c r="E88" s="56">
        <v>0</v>
      </c>
      <c r="F88" s="78">
        <f t="shared" si="5"/>
        <v>0</v>
      </c>
      <c r="G88" s="61">
        <v>0</v>
      </c>
      <c r="H88" s="61">
        <v>0</v>
      </c>
      <c r="I88" s="56">
        <v>0</v>
      </c>
      <c r="K88" s="49" t="s">
        <v>359</v>
      </c>
      <c r="L88" s="49" t="s">
        <v>24</v>
      </c>
      <c r="M88" s="50">
        <v>8593</v>
      </c>
      <c r="N88" s="76">
        <f t="shared" si="24"/>
        <v>9102.7542372881362</v>
      </c>
      <c r="O88" s="108">
        <f ca="1">1*'UK Distances'!F19</f>
        <v>402.7</v>
      </c>
      <c r="P88" s="102">
        <f t="shared" si="25"/>
        <v>5899338.7159728818</v>
      </c>
      <c r="Q88" s="108">
        <f ca="1">1*'UK Distances'!I19</f>
        <v>251.8</v>
      </c>
      <c r="R88" s="101">
        <f t="shared" si="26"/>
        <v>3688734.7620610171</v>
      </c>
      <c r="S88" s="45">
        <f t="shared" si="27"/>
        <v>8.148055223656824</v>
      </c>
      <c r="T88" s="45">
        <f t="shared" si="28"/>
        <v>5.09481079045639</v>
      </c>
    </row>
    <row r="89" spans="1:20">
      <c r="A89" s="49" t="s">
        <v>466</v>
      </c>
      <c r="B89" s="49" t="s">
        <v>24</v>
      </c>
      <c r="C89" s="50">
        <v>11207</v>
      </c>
      <c r="D89" s="78">
        <f t="shared" si="4"/>
        <v>1.639713639017196</v>
      </c>
      <c r="E89" s="56">
        <v>2289</v>
      </c>
      <c r="F89" s="78">
        <f t="shared" si="5"/>
        <v>2.6227141482194418</v>
      </c>
      <c r="G89" s="61">
        <v>114</v>
      </c>
      <c r="H89" s="62">
        <v>2289</v>
      </c>
      <c r="I89" s="56">
        <v>114</v>
      </c>
      <c r="K89" s="49" t="s">
        <v>466</v>
      </c>
      <c r="L89" s="49" t="s">
        <v>24</v>
      </c>
      <c r="M89" s="50">
        <v>11207</v>
      </c>
      <c r="N89" s="76">
        <f t="shared" si="24"/>
        <v>11871.822033898306</v>
      </c>
      <c r="O89" s="108">
        <f ca="1">1*'UK Distances'!F24</f>
        <v>315</v>
      </c>
      <c r="P89" s="102">
        <f t="shared" si="25"/>
        <v>6018341.3511864413</v>
      </c>
      <c r="Q89" s="108">
        <f ca="1">1*'UK Distances'!I24</f>
        <v>219.7</v>
      </c>
      <c r="R89" s="101">
        <f t="shared" si="26"/>
        <v>4197554.2693830514</v>
      </c>
      <c r="S89" s="45">
        <f t="shared" si="27"/>
        <v>8.3124194160120446</v>
      </c>
      <c r="T89" s="45">
        <f t="shared" si="28"/>
        <v>5.797582684755068</v>
      </c>
    </row>
    <row r="90" spans="1:20">
      <c r="A90" s="49" t="s">
        <v>619</v>
      </c>
      <c r="B90" s="49" t="s">
        <v>24</v>
      </c>
      <c r="C90" s="50">
        <v>12517</v>
      </c>
      <c r="D90" s="78">
        <f t="shared" si="4"/>
        <v>1.83138178099208</v>
      </c>
      <c r="E90" s="56">
        <v>1633</v>
      </c>
      <c r="F90" s="78">
        <f t="shared" si="5"/>
        <v>1.8710756679957834</v>
      </c>
      <c r="G90" s="61">
        <v>82</v>
      </c>
      <c r="H90" s="62">
        <v>1633</v>
      </c>
      <c r="I90" s="56">
        <v>82</v>
      </c>
      <c r="K90" s="49" t="s">
        <v>619</v>
      </c>
      <c r="L90" s="49" t="s">
        <v>24</v>
      </c>
      <c r="M90" s="50">
        <v>12517</v>
      </c>
      <c r="N90" s="76">
        <f t="shared" si="24"/>
        <v>13259.533898305086</v>
      </c>
      <c r="O90" s="108">
        <f ca="1">1*'UK Distances'!F25</f>
        <v>177.76</v>
      </c>
      <c r="P90" s="102">
        <f t="shared" si="25"/>
        <v>3793247.5390047459</v>
      </c>
      <c r="Q90" s="108">
        <f ca="1">1*'UK Distances'!I25</f>
        <v>278</v>
      </c>
      <c r="R90" s="101">
        <f t="shared" si="26"/>
        <v>5932284.067525425</v>
      </c>
      <c r="S90" s="45">
        <f t="shared" si="27"/>
        <v>5.2391618642147968</v>
      </c>
      <c r="T90" s="45">
        <f t="shared" si="28"/>
        <v>8.193558721037995</v>
      </c>
    </row>
    <row r="91" spans="1:20">
      <c r="A91" s="49" t="s">
        <v>623</v>
      </c>
      <c r="B91" s="49" t="s">
        <v>24</v>
      </c>
      <c r="C91" s="50">
        <v>14522</v>
      </c>
      <c r="D91" s="78">
        <f t="shared" si="4"/>
        <v>2.1247364563047846</v>
      </c>
      <c r="E91" s="56">
        <v>86</v>
      </c>
      <c r="F91" s="78">
        <f t="shared" si="5"/>
        <v>9.8537971492735688E-2</v>
      </c>
      <c r="G91" s="61">
        <v>4</v>
      </c>
      <c r="H91" s="61">
        <v>86</v>
      </c>
      <c r="I91" s="56">
        <v>4</v>
      </c>
      <c r="K91" s="49" t="s">
        <v>623</v>
      </c>
      <c r="L91" s="49" t="s">
        <v>24</v>
      </c>
      <c r="M91" s="50">
        <v>14522</v>
      </c>
      <c r="N91" s="76">
        <f t="shared" si="24"/>
        <v>15383.474576271188</v>
      </c>
      <c r="O91" s="108">
        <f ca="1">1*'UK Distances'!F27</f>
        <v>264.76</v>
      </c>
      <c r="P91" s="102">
        <f t="shared" si="25"/>
        <v>6554743.4121437296</v>
      </c>
      <c r="Q91" s="108">
        <f ca="1">1*'UK Distances'!I27</f>
        <v>168.5</v>
      </c>
      <c r="R91" s="101">
        <f t="shared" si="26"/>
        <v>4171605.472677967</v>
      </c>
      <c r="S91" s="45">
        <f t="shared" si="27"/>
        <v>9.0532878124866389</v>
      </c>
      <c r="T91" s="45">
        <f t="shared" si="28"/>
        <v>5.7617426967970946</v>
      </c>
    </row>
    <row r="92" spans="1:20">
      <c r="A92" s="49" t="s">
        <v>262</v>
      </c>
      <c r="B92" s="49" t="s">
        <v>24</v>
      </c>
      <c r="C92" s="50">
        <v>7912</v>
      </c>
      <c r="D92" s="78">
        <f t="shared" si="4"/>
        <v>1.1576170529047964</v>
      </c>
      <c r="E92" s="56">
        <v>473</v>
      </c>
      <c r="F92" s="78">
        <f t="shared" si="5"/>
        <v>0.54195884321004628</v>
      </c>
      <c r="G92" s="61">
        <v>24</v>
      </c>
      <c r="H92" s="61">
        <v>473</v>
      </c>
      <c r="I92" s="56">
        <v>24</v>
      </c>
      <c r="K92" s="49" t="s">
        <v>262</v>
      </c>
      <c r="L92" s="49" t="s">
        <v>24</v>
      </c>
      <c r="M92" s="50">
        <v>7912</v>
      </c>
      <c r="N92" s="76">
        <f t="shared" si="24"/>
        <v>8381.3559322033907</v>
      </c>
      <c r="O92" s="108">
        <f ca="1">1*'UK Distances'!F32</f>
        <v>373.27</v>
      </c>
      <c r="P92" s="102">
        <f t="shared" si="25"/>
        <v>5034846.7516637295</v>
      </c>
      <c r="Q92" s="108">
        <f ca="1">1*'UK Distances'!I32</f>
        <v>207.7</v>
      </c>
      <c r="R92" s="101">
        <f t="shared" si="26"/>
        <v>2801558.3098576274</v>
      </c>
      <c r="S92" s="45">
        <f t="shared" si="27"/>
        <v>6.9540352487524171</v>
      </c>
      <c r="T92" s="45">
        <f t="shared" si="28"/>
        <v>3.8694594292760653</v>
      </c>
    </row>
    <row r="93" spans="1:20">
      <c r="A93" s="49" t="s">
        <v>568</v>
      </c>
      <c r="B93" s="49" t="s">
        <v>24</v>
      </c>
      <c r="C93" s="50">
        <v>8585</v>
      </c>
      <c r="D93" s="78">
        <f t="shared" si="4"/>
        <v>1.2560847319499087</v>
      </c>
      <c r="E93" s="56">
        <v>1</v>
      </c>
      <c r="F93" s="78">
        <f t="shared" si="5"/>
        <v>1.1457903661946009E-3</v>
      </c>
      <c r="G93" s="61">
        <v>0</v>
      </c>
      <c r="H93" s="61">
        <v>1</v>
      </c>
      <c r="I93" s="56">
        <v>0</v>
      </c>
      <c r="K93" s="49" t="s">
        <v>568</v>
      </c>
      <c r="L93" s="49" t="s">
        <v>24</v>
      </c>
      <c r="M93" s="50">
        <v>8585</v>
      </c>
      <c r="N93" s="76">
        <f t="shared" si="24"/>
        <v>9094.2796610169498</v>
      </c>
      <c r="O93" s="108">
        <f ca="1">1*'UK Distances'!F35</f>
        <v>200.59</v>
      </c>
      <c r="P93" s="102">
        <f t="shared" si="25"/>
        <v>2935800.0177559326</v>
      </c>
      <c r="Q93" s="108">
        <f ca="1">1*'UK Distances'!I35</f>
        <v>152.4</v>
      </c>
      <c r="R93" s="101">
        <f t="shared" si="26"/>
        <v>2230499.6395932208</v>
      </c>
      <c r="S93" s="45">
        <f t="shared" si="27"/>
        <v>4.0548715410288345</v>
      </c>
      <c r="T93" s="45">
        <f t="shared" si="28"/>
        <v>3.0807239785273164</v>
      </c>
    </row>
    <row r="94" spans="1:20">
      <c r="A94" s="49" t="s">
        <v>573</v>
      </c>
      <c r="B94" s="49" t="s">
        <v>24</v>
      </c>
      <c r="C94" s="50">
        <v>13254</v>
      </c>
      <c r="D94" s="78">
        <f t="shared" si="4"/>
        <v>1.9392133997977974</v>
      </c>
      <c r="E94" s="56">
        <v>11</v>
      </c>
      <c r="F94" s="78">
        <f t="shared" si="5"/>
        <v>1.2603694028140612E-2</v>
      </c>
      <c r="G94" s="61">
        <v>1</v>
      </c>
      <c r="H94" s="61">
        <v>0</v>
      </c>
      <c r="I94" s="56">
        <v>0</v>
      </c>
      <c r="K94" s="49" t="s">
        <v>573</v>
      </c>
      <c r="L94" s="49" t="s">
        <v>24</v>
      </c>
      <c r="M94" s="50">
        <v>13254</v>
      </c>
      <c r="N94" s="76">
        <f t="shared" si="24"/>
        <v>14040.254237288136</v>
      </c>
      <c r="O94" s="108">
        <f ca="1">1*'UK Distances'!F39</f>
        <v>225.69</v>
      </c>
      <c r="P94" s="102">
        <f t="shared" si="25"/>
        <v>5099600.719183729</v>
      </c>
      <c r="Q94" s="108">
        <f ca="1">1*'UK Distances'!I39</f>
        <v>167.2</v>
      </c>
      <c r="R94" s="101">
        <f t="shared" si="26"/>
        <v>3777984.1386305089</v>
      </c>
      <c r="S94" s="45">
        <f t="shared" si="27"/>
        <v>7.0434722057922405</v>
      </c>
      <c r="T94" s="45">
        <f t="shared" si="28"/>
        <v>5.2180803438719607</v>
      </c>
    </row>
    <row r="95" spans="1:20" ht="15">
      <c r="A95" s="52" t="s">
        <v>539</v>
      </c>
      <c r="B95" s="52" t="s">
        <v>24</v>
      </c>
      <c r="C95" s="53">
        <f>AVERAGE(C84:C94)</f>
        <v>15197</v>
      </c>
      <c r="D95" s="115">
        <f t="shared" si="4"/>
        <v>2.2234967584674159</v>
      </c>
      <c r="E95" s="53">
        <f>AVERAGE(E84:E94)</f>
        <v>480.54545454545456</v>
      </c>
      <c r="F95" s="115">
        <f t="shared" si="5"/>
        <v>0.55060435233678739</v>
      </c>
      <c r="G95" s="53">
        <f>AVERAGE(G84:G94)</f>
        <v>24</v>
      </c>
      <c r="H95" s="53">
        <f>AVERAGE(H84:H94)</f>
        <v>479.18181818181819</v>
      </c>
      <c r="I95" s="53">
        <f>AVERAGE(I84:I94)</f>
        <v>23.90909090909091</v>
      </c>
      <c r="K95" s="52" t="s">
        <v>539</v>
      </c>
      <c r="L95" s="52" t="s">
        <v>24</v>
      </c>
      <c r="M95" s="53">
        <f t="shared" ref="M95:R95" si="29">AVERAGE(M84:M94)</f>
        <v>15197</v>
      </c>
      <c r="N95" s="53">
        <f t="shared" si="29"/>
        <v>16098.516949152543</v>
      </c>
      <c r="O95" s="53">
        <f t="shared" si="29"/>
        <v>241.8518181818182</v>
      </c>
      <c r="P95" s="53">
        <f t="shared" si="29"/>
        <v>4629405.4105179673</v>
      </c>
      <c r="Q95" s="53">
        <f t="shared" si="29"/>
        <v>196.75454545454548</v>
      </c>
      <c r="R95" s="53">
        <f t="shared" si="29"/>
        <v>4893758.0491118655</v>
      </c>
      <c r="S95" s="45"/>
      <c r="T95" s="44"/>
    </row>
    <row r="96" spans="1:20" ht="15">
      <c r="A96" s="52" t="s">
        <v>1174</v>
      </c>
      <c r="B96" s="52" t="s">
        <v>24</v>
      </c>
      <c r="C96" s="53">
        <f>SUM(C84:C94)</f>
        <v>167167</v>
      </c>
      <c r="D96" s="115">
        <f t="shared" si="4"/>
        <v>24.458464343141571</v>
      </c>
      <c r="E96" s="53">
        <f>SUM(E84:E94)</f>
        <v>5286</v>
      </c>
      <c r="F96" s="115">
        <f t="shared" si="5"/>
        <v>6.0566478757046616</v>
      </c>
      <c r="G96" s="53">
        <f>SUM(G84:G94)</f>
        <v>264</v>
      </c>
      <c r="H96" s="53">
        <f>SUM(H84:H94)</f>
        <v>5271</v>
      </c>
      <c r="I96" s="53">
        <f>SUM(I84:I94)</f>
        <v>263</v>
      </c>
      <c r="K96" s="52" t="s">
        <v>1174</v>
      </c>
      <c r="L96" s="52" t="s">
        <v>24</v>
      </c>
      <c r="M96" s="53">
        <f t="shared" ref="M96:R96" si="30">SUM(M84:M94)</f>
        <v>167167</v>
      </c>
      <c r="N96" s="53">
        <f t="shared" si="30"/>
        <v>177083.68644067796</v>
      </c>
      <c r="O96" s="53">
        <f t="shared" si="30"/>
        <v>2660.3700000000003</v>
      </c>
      <c r="P96" s="53">
        <f t="shared" si="30"/>
        <v>50923459.515697636</v>
      </c>
      <c r="Q96" s="53">
        <f t="shared" si="30"/>
        <v>2164.3000000000002</v>
      </c>
      <c r="R96" s="53">
        <f t="shared" si="30"/>
        <v>53831338.54023052</v>
      </c>
      <c r="S96" s="45"/>
      <c r="T96" s="44"/>
    </row>
    <row r="97" spans="1:20">
      <c r="A97" s="49" t="s">
        <v>358</v>
      </c>
      <c r="B97" s="49" t="s">
        <v>1173</v>
      </c>
      <c r="C97" s="50">
        <v>23850</v>
      </c>
      <c r="D97" s="78">
        <f t="shared" si="4"/>
        <v>3.4895306764129672</v>
      </c>
      <c r="E97" s="56">
        <v>6470</v>
      </c>
      <c r="F97" s="78">
        <f t="shared" si="5"/>
        <v>7.4132636692790683</v>
      </c>
      <c r="G97" s="61">
        <v>323</v>
      </c>
      <c r="H97" s="62">
        <v>6223</v>
      </c>
      <c r="I97" s="56">
        <v>311</v>
      </c>
      <c r="K97" s="95" t="s">
        <v>151</v>
      </c>
      <c r="L97" s="95" t="s">
        <v>1173</v>
      </c>
      <c r="M97" s="109">
        <v>23850</v>
      </c>
      <c r="N97" s="80">
        <f t="shared" si="24"/>
        <v>25264.830508474577</v>
      </c>
      <c r="O97" s="94">
        <f ca="1">1*'UK Distances'!F18</f>
        <v>418.8</v>
      </c>
      <c r="P97" s="110">
        <f ca="1">(N97*O97*$B$183)</f>
        <v>17028325.659661017</v>
      </c>
      <c r="Q97" s="94">
        <f ca="1">1*'UK Distances'!I18</f>
        <v>524.20000000000005</v>
      </c>
      <c r="R97" s="94">
        <f>(N97*Q97*$B$183)</f>
        <v>21313868.936949156</v>
      </c>
      <c r="S97" s="45">
        <f>(P97)/$N$112</f>
        <v>23.519201815902019</v>
      </c>
      <c r="T97" s="45">
        <f>(R97)/$N$112</f>
        <v>29.438313256675833</v>
      </c>
    </row>
    <row r="98" spans="1:20">
      <c r="A98" s="49" t="s">
        <v>365</v>
      </c>
      <c r="B98" s="49" t="s">
        <v>1173</v>
      </c>
      <c r="C98" s="50">
        <v>4450</v>
      </c>
      <c r="D98" s="78">
        <f t="shared" si="4"/>
        <v>0.65108643647956832</v>
      </c>
      <c r="E98" s="56">
        <v>0</v>
      </c>
      <c r="F98" s="78">
        <f t="shared" si="5"/>
        <v>0</v>
      </c>
      <c r="G98" s="61">
        <v>0</v>
      </c>
      <c r="H98" s="61">
        <v>0</v>
      </c>
      <c r="I98" s="56">
        <v>0</v>
      </c>
      <c r="K98" s="49" t="s">
        <v>365</v>
      </c>
      <c r="L98" s="49" t="s">
        <v>1173</v>
      </c>
      <c r="M98" s="50">
        <v>4450</v>
      </c>
      <c r="N98" s="76">
        <f t="shared" si="24"/>
        <v>4713.9830508474579</v>
      </c>
      <c r="O98" s="108">
        <f ca="1">1*'UK Distances'!F22</f>
        <v>279.38</v>
      </c>
      <c r="P98" s="102">
        <f ca="1">(N98*O98*$B$183)</f>
        <v>2119494.114305085</v>
      </c>
      <c r="Q98" s="108">
        <f ca="1">1*'UK Distances'!I22</f>
        <v>154.19999999999999</v>
      </c>
      <c r="R98" s="101">
        <f>(N98*Q98*$B$183)</f>
        <v>1169826.0162711865</v>
      </c>
      <c r="S98" s="45">
        <f>(P98)/$N$112</f>
        <v>2.9274052433731841</v>
      </c>
      <c r="T98" s="45">
        <f>(R98)/$N$112</f>
        <v>1.6157416011459123</v>
      </c>
    </row>
    <row r="99" spans="1:20">
      <c r="A99" s="49" t="s">
        <v>572</v>
      </c>
      <c r="B99" s="49" t="s">
        <v>1173</v>
      </c>
      <c r="C99" s="50">
        <v>2811</v>
      </c>
      <c r="D99" s="78">
        <f t="shared" si="4"/>
        <v>0.41128179167282397</v>
      </c>
      <c r="E99" s="56">
        <v>0</v>
      </c>
      <c r="F99" s="78">
        <f t="shared" si="5"/>
        <v>0</v>
      </c>
      <c r="G99" s="61">
        <v>0</v>
      </c>
      <c r="H99" s="61">
        <v>0</v>
      </c>
      <c r="I99" s="56">
        <v>0</v>
      </c>
      <c r="K99" s="49" t="s">
        <v>572</v>
      </c>
      <c r="L99" s="49" t="s">
        <v>1173</v>
      </c>
      <c r="M99" s="50">
        <v>2811</v>
      </c>
      <c r="N99" s="76">
        <f t="shared" si="24"/>
        <v>2977.7542372881358</v>
      </c>
      <c r="O99" s="108">
        <f ca="1">1*'UK Distances'!F38</f>
        <v>355.36</v>
      </c>
      <c r="P99" s="102">
        <f ca="1">(N99*O99*$B$183)</f>
        <v>1702967.1780447459</v>
      </c>
      <c r="Q99" s="108">
        <f ca="1">1*'UK Distances'!I38</f>
        <v>270.7</v>
      </c>
      <c r="R99" s="101">
        <f>(N99*Q99*$B$183)</f>
        <v>1297256.9087593223</v>
      </c>
      <c r="S99" s="45">
        <f>(P99)/$N$112</f>
        <v>2.3521061052510341</v>
      </c>
      <c r="T99" s="45">
        <f>(R99)/$N$112</f>
        <v>1.7917467432785203</v>
      </c>
    </row>
    <row r="100" spans="1:20" ht="15">
      <c r="A100" s="52" t="s">
        <v>539</v>
      </c>
      <c r="B100" s="52" t="s">
        <v>1173</v>
      </c>
      <c r="C100" s="53">
        <f>AVERAGE(C97:C99)</f>
        <v>10370.333333333334</v>
      </c>
      <c r="D100" s="115">
        <f t="shared" si="4"/>
        <v>1.51729963485512</v>
      </c>
      <c r="E100" s="53">
        <f>AVERAGE(E97:E99)</f>
        <v>2156.6666666666665</v>
      </c>
      <c r="F100" s="115">
        <f t="shared" si="5"/>
        <v>2.4710878897596893</v>
      </c>
      <c r="G100" s="53">
        <f>AVERAGE(G97:G99)</f>
        <v>107.66666666666667</v>
      </c>
      <c r="H100" s="53">
        <f>AVERAGE(H97:H99)</f>
        <v>2074.3333333333335</v>
      </c>
      <c r="I100" s="53">
        <f>AVERAGE(I97:I99)</f>
        <v>103.66666666666667</v>
      </c>
      <c r="K100" s="52" t="s">
        <v>539</v>
      </c>
      <c r="L100" s="52" t="s">
        <v>1173</v>
      </c>
      <c r="M100" s="53">
        <f t="shared" ref="M100:R100" si="31">AVERAGE(M97:M99)</f>
        <v>10370.333333333334</v>
      </c>
      <c r="N100" s="53">
        <f t="shared" si="31"/>
        <v>10985.522598870057</v>
      </c>
      <c r="O100" s="53">
        <f t="shared" si="31"/>
        <v>351.18</v>
      </c>
      <c r="P100" s="53">
        <f t="shared" si="31"/>
        <v>6950262.3173369505</v>
      </c>
      <c r="Q100" s="53">
        <f t="shared" si="31"/>
        <v>316.36666666666673</v>
      </c>
      <c r="R100" s="53">
        <f t="shared" si="31"/>
        <v>7926983.9539932208</v>
      </c>
      <c r="S100" s="45"/>
      <c r="T100" s="44"/>
    </row>
    <row r="101" spans="1:20" ht="15">
      <c r="A101" s="52" t="s">
        <v>1174</v>
      </c>
      <c r="B101" s="52" t="s">
        <v>1173</v>
      </c>
      <c r="C101" s="53">
        <f>SUM(C97:C99)</f>
        <v>31111</v>
      </c>
      <c r="D101" s="115">
        <f t="shared" si="4"/>
        <v>4.5518989045653591</v>
      </c>
      <c r="E101" s="53">
        <f>SUM(E97:E99)</f>
        <v>6470</v>
      </c>
      <c r="F101" s="115">
        <f t="shared" si="5"/>
        <v>7.4132636692790683</v>
      </c>
      <c r="G101" s="53">
        <f>SUM(G97:G99)</f>
        <v>323</v>
      </c>
      <c r="H101" s="53">
        <f>SUM(H97:H99)</f>
        <v>6223</v>
      </c>
      <c r="I101" s="53">
        <f>SUM(I97:I99)</f>
        <v>311</v>
      </c>
      <c r="K101" s="52" t="s">
        <v>1174</v>
      </c>
      <c r="L101" s="52" t="s">
        <v>1173</v>
      </c>
      <c r="M101" s="53">
        <f t="shared" ref="M101:R101" si="32">SUM(M97:M99)</f>
        <v>31111</v>
      </c>
      <c r="N101" s="53">
        <f t="shared" si="32"/>
        <v>32956.567796610172</v>
      </c>
      <c r="O101" s="53">
        <f t="shared" si="32"/>
        <v>1053.54</v>
      </c>
      <c r="P101" s="53">
        <f t="shared" si="32"/>
        <v>20850786.952010851</v>
      </c>
      <c r="Q101" s="53">
        <f t="shared" si="32"/>
        <v>949.10000000000014</v>
      </c>
      <c r="R101" s="53">
        <f t="shared" si="32"/>
        <v>23780951.861979663</v>
      </c>
      <c r="S101" s="45"/>
      <c r="T101" s="44"/>
    </row>
    <row r="102" spans="1:20" ht="29.25" customHeight="1">
      <c r="A102" s="49" t="s">
        <v>362</v>
      </c>
      <c r="B102" s="49" t="s">
        <v>27</v>
      </c>
      <c r="C102" s="50">
        <v>927</v>
      </c>
      <c r="D102" s="78">
        <f t="shared" si="4"/>
        <v>0.13563081497001345</v>
      </c>
      <c r="E102" s="56">
        <v>800</v>
      </c>
      <c r="F102" s="78">
        <f t="shared" si="5"/>
        <v>0.91663229295568072</v>
      </c>
      <c r="G102" s="61">
        <v>40</v>
      </c>
      <c r="H102" s="61">
        <v>800</v>
      </c>
      <c r="I102" s="56">
        <v>40</v>
      </c>
      <c r="K102" s="49" t="s">
        <v>362</v>
      </c>
      <c r="L102" s="49" t="s">
        <v>27</v>
      </c>
      <c r="M102" s="50">
        <v>927</v>
      </c>
      <c r="N102" s="76">
        <f t="shared" si="24"/>
        <v>981.99152542372883</v>
      </c>
      <c r="O102" s="108">
        <f ca="1">1*'UK Distances'!F30</f>
        <v>2</v>
      </c>
      <c r="P102" s="102">
        <f ca="1">(N102*O102*$B$183)</f>
        <v>3160.724338983051</v>
      </c>
      <c r="Q102" s="108">
        <f ca="1">1*'UK Distances'!I30</f>
        <v>168.3</v>
      </c>
      <c r="R102" s="101">
        <f>(N102*Q102*$B$183)</f>
        <v>265974.95312542375</v>
      </c>
      <c r="S102" s="45">
        <f>(P102)/$N$112</f>
        <v>4.3655327657420263E-3</v>
      </c>
      <c r="T102" s="45">
        <f>(R102)/$N$112</f>
        <v>0.36735958223719156</v>
      </c>
    </row>
    <row r="103" spans="1:20">
      <c r="A103" s="95" t="s">
        <v>148</v>
      </c>
      <c r="B103" s="95" t="s">
        <v>30</v>
      </c>
      <c r="C103" s="109">
        <v>284727</v>
      </c>
      <c r="D103" s="116">
        <f t="shared" si="4"/>
        <v>41.658851190902936</v>
      </c>
      <c r="E103" s="94">
        <v>29618</v>
      </c>
      <c r="F103" s="116">
        <f t="shared" si="5"/>
        <v>33.936019065951697</v>
      </c>
      <c r="G103" s="94">
        <v>1481</v>
      </c>
      <c r="H103" s="94">
        <v>29373</v>
      </c>
      <c r="I103" s="94">
        <v>1469</v>
      </c>
      <c r="K103" s="95" t="s">
        <v>148</v>
      </c>
      <c r="L103" s="95" t="s">
        <v>30</v>
      </c>
      <c r="M103" s="109">
        <v>284727</v>
      </c>
      <c r="N103" s="80">
        <f t="shared" si="24"/>
        <v>301617.58474576275</v>
      </c>
      <c r="O103" s="94">
        <f ca="1">1*'UK Distances'!F30</f>
        <v>2</v>
      </c>
      <c r="P103" s="110">
        <f ca="1">(N103*O103*$B$183)</f>
        <v>970812.90061016975</v>
      </c>
      <c r="Q103" s="94">
        <f ca="1">1*'UK Distances'!I30</f>
        <v>168.3</v>
      </c>
      <c r="R103" s="94">
        <f>(N103*Q103*$B$183)</f>
        <v>81693905.586345792</v>
      </c>
      <c r="S103" s="45">
        <f>(P103)/$N$112</f>
        <v>1.3408684442194501</v>
      </c>
      <c r="T103" s="45">
        <f>(R103)/$N$112</f>
        <v>112.83407958106673</v>
      </c>
    </row>
    <row r="104" spans="1:20">
      <c r="A104" s="49" t="s">
        <v>571</v>
      </c>
      <c r="B104" s="49" t="s">
        <v>30</v>
      </c>
      <c r="C104" s="50">
        <v>1120</v>
      </c>
      <c r="D104" s="78">
        <f t="shared" si="4"/>
        <v>0.16386894581058797</v>
      </c>
      <c r="E104" s="56">
        <v>785</v>
      </c>
      <c r="F104" s="78">
        <f t="shared" si="5"/>
        <v>0.89944543746276173</v>
      </c>
      <c r="G104" s="61">
        <v>39</v>
      </c>
      <c r="H104" s="61">
        <v>0</v>
      </c>
      <c r="I104" s="56">
        <v>0</v>
      </c>
      <c r="K104" s="49" t="s">
        <v>571</v>
      </c>
      <c r="L104" s="49" t="s">
        <v>30</v>
      </c>
      <c r="M104" s="50">
        <v>1120</v>
      </c>
      <c r="N104" s="76">
        <f t="shared" si="24"/>
        <v>1186.4406779661017</v>
      </c>
      <c r="O104" s="108">
        <f ca="1">1*'UK Distances'!F37</f>
        <v>2</v>
      </c>
      <c r="P104" s="102">
        <f ca="1">(N104*O104*$B$183)</f>
        <v>3818.7823728813564</v>
      </c>
      <c r="Q104" s="108">
        <f ca="1">1*'UK Distances'!I37</f>
        <v>168.3</v>
      </c>
      <c r="R104" s="101">
        <f>(N104*Q104*$B$183)</f>
        <v>321350.53667796619</v>
      </c>
      <c r="S104" s="45">
        <f>(P104)/$N$112</f>
        <v>5.2744300945318989E-3</v>
      </c>
      <c r="T104" s="45">
        <f>(R104)/$N$112</f>
        <v>0.44384329245485932</v>
      </c>
    </row>
    <row r="105" spans="1:20" ht="32.25" customHeight="1">
      <c r="A105" s="52" t="s">
        <v>1174</v>
      </c>
      <c r="B105" s="52" t="s">
        <v>502</v>
      </c>
      <c r="C105" s="53">
        <f>SUM(C102:C104)</f>
        <v>286774</v>
      </c>
      <c r="D105" s="115">
        <f t="shared" si="4"/>
        <v>41.958350951683535</v>
      </c>
      <c r="E105" s="53">
        <f>SUM(E102:E104)</f>
        <v>31203</v>
      </c>
      <c r="F105" s="115">
        <f t="shared" si="5"/>
        <v>35.752096796370139</v>
      </c>
      <c r="G105" s="53">
        <f>SUM(G102:G104)</f>
        <v>1560</v>
      </c>
      <c r="H105" s="53">
        <f>SUM(H102:H104)</f>
        <v>30173</v>
      </c>
      <c r="I105" s="53">
        <f>SUM(I102:I104)</f>
        <v>1509</v>
      </c>
      <c r="K105" s="52" t="s">
        <v>1174</v>
      </c>
      <c r="L105" s="52" t="s">
        <v>502</v>
      </c>
      <c r="M105" s="53">
        <f t="shared" ref="M105:R105" si="33">SUM(M102:M104)</f>
        <v>286774</v>
      </c>
      <c r="N105" s="53">
        <f t="shared" si="33"/>
        <v>303786.01694915257</v>
      </c>
      <c r="O105" s="53">
        <f t="shared" si="33"/>
        <v>6</v>
      </c>
      <c r="P105" s="53">
        <f t="shared" si="33"/>
        <v>977792.40732203412</v>
      </c>
      <c r="Q105" s="53">
        <f t="shared" si="33"/>
        <v>504.90000000000003</v>
      </c>
      <c r="R105" s="53">
        <f t="shared" si="33"/>
        <v>82281231.076149181</v>
      </c>
      <c r="S105" s="45"/>
      <c r="T105" s="44"/>
    </row>
    <row r="106" spans="1:20" ht="28.5">
      <c r="A106" s="49" t="s">
        <v>450</v>
      </c>
      <c r="B106" s="49" t="s">
        <v>42</v>
      </c>
      <c r="C106" s="50">
        <v>86615</v>
      </c>
      <c r="D106" s="78">
        <f t="shared" si="4"/>
        <v>12.67277566195007</v>
      </c>
      <c r="E106" s="57">
        <v>9942</v>
      </c>
      <c r="F106" s="78">
        <f t="shared" si="5"/>
        <v>11.391447820706723</v>
      </c>
      <c r="G106" s="61">
        <v>497</v>
      </c>
      <c r="H106" s="62">
        <v>9942</v>
      </c>
      <c r="I106" s="56">
        <v>497</v>
      </c>
      <c r="K106" s="49" t="s">
        <v>450</v>
      </c>
      <c r="L106" s="49" t="s">
        <v>42</v>
      </c>
      <c r="M106" s="50">
        <v>86615</v>
      </c>
      <c r="N106" s="76">
        <f t="shared" si="24"/>
        <v>91753.177966101706</v>
      </c>
      <c r="O106" s="108">
        <f ca="1">1*'UK Distances'!F33</f>
        <v>89.5</v>
      </c>
      <c r="P106" s="102">
        <f ca="1">(N106*O106*$B$183)</f>
        <v>13215787.166440681</v>
      </c>
      <c r="Q106" s="108">
        <f ca="1">1*'UK Distances'!I33</f>
        <v>82.2</v>
      </c>
      <c r="R106" s="101">
        <f>(N106*Q106*$B$183)</f>
        <v>12137851.453423731</v>
      </c>
      <c r="S106" s="45">
        <f>(P106)/$N$112</f>
        <v>18.253395650040311</v>
      </c>
      <c r="T106" s="45">
        <f>(R106)/$N$112</f>
        <v>16.76457120037222</v>
      </c>
    </row>
    <row r="107" spans="1:20" ht="30">
      <c r="A107" s="52" t="s">
        <v>1174</v>
      </c>
      <c r="B107" s="59" t="s">
        <v>503</v>
      </c>
      <c r="C107" s="53">
        <f>(1*C106)</f>
        <v>86615</v>
      </c>
      <c r="D107" s="115">
        <f t="shared" si="4"/>
        <v>12.67277566195007</v>
      </c>
      <c r="E107" s="53">
        <f>(1*E106)</f>
        <v>9942</v>
      </c>
      <c r="F107" s="115">
        <f t="shared" si="5"/>
        <v>11.391447820706723</v>
      </c>
      <c r="G107" s="53">
        <f>(1*G106)</f>
        <v>497</v>
      </c>
      <c r="H107" s="53">
        <f>(1*H106)</f>
        <v>9942</v>
      </c>
      <c r="I107" s="53">
        <f>(1*I106)</f>
        <v>497</v>
      </c>
      <c r="K107" s="52" t="s">
        <v>1174</v>
      </c>
      <c r="L107" s="59" t="s">
        <v>503</v>
      </c>
      <c r="M107" s="53">
        <f t="shared" ref="M107:R107" si="34">SUM(M106)</f>
        <v>86615</v>
      </c>
      <c r="N107" s="53">
        <f t="shared" si="34"/>
        <v>91753.177966101706</v>
      </c>
      <c r="O107" s="53">
        <f t="shared" si="34"/>
        <v>89.5</v>
      </c>
      <c r="P107" s="53">
        <f t="shared" si="34"/>
        <v>13215787.166440681</v>
      </c>
      <c r="Q107" s="53">
        <f t="shared" si="34"/>
        <v>82.2</v>
      </c>
      <c r="R107" s="53">
        <f t="shared" si="34"/>
        <v>12137851.453423731</v>
      </c>
      <c r="S107" s="45"/>
      <c r="T107" s="44"/>
    </row>
    <row r="108" spans="1:20" ht="28.5">
      <c r="A108" s="49" t="s">
        <v>356</v>
      </c>
      <c r="B108" s="49" t="s">
        <v>23</v>
      </c>
      <c r="C108" s="50">
        <v>1832</v>
      </c>
      <c r="D108" s="78">
        <f t="shared" si="4"/>
        <v>0.26804277564731893</v>
      </c>
      <c r="E108" s="56">
        <v>0</v>
      </c>
      <c r="F108" s="78">
        <f t="shared" si="5"/>
        <v>0</v>
      </c>
      <c r="G108" s="61">
        <v>0</v>
      </c>
      <c r="H108" s="61">
        <v>0</v>
      </c>
      <c r="I108" s="56">
        <v>0</v>
      </c>
      <c r="K108" s="49" t="s">
        <v>356</v>
      </c>
      <c r="L108" s="49" t="s">
        <v>23</v>
      </c>
      <c r="M108" s="50">
        <v>1832</v>
      </c>
      <c r="N108" s="76">
        <f t="shared" si="24"/>
        <v>1940.6779661016951</v>
      </c>
      <c r="O108" s="108">
        <f ca="1">1*'UK Distances'!F14</f>
        <v>285.2</v>
      </c>
      <c r="P108" s="102">
        <f ca="1">(N108*O108*$B$183)</f>
        <v>890741.89928135613</v>
      </c>
      <c r="Q108" s="108">
        <f ca="1">1*'UK Distances'!I14</f>
        <v>149.30000000000001</v>
      </c>
      <c r="R108" s="101">
        <f>(N108*Q108*$B$183)</f>
        <v>466296.51319322048</v>
      </c>
      <c r="S108" s="45">
        <f>(P108)/$N$112</f>
        <v>1.2302758893498356</v>
      </c>
      <c r="T108" s="45">
        <f>(R108)/$N$112</f>
        <v>0.64403993786791891</v>
      </c>
    </row>
    <row r="109" spans="1:20" ht="15">
      <c r="A109" s="52" t="s">
        <v>1174</v>
      </c>
      <c r="B109" s="52" t="s">
        <v>300</v>
      </c>
      <c r="C109" s="53">
        <f>(1*C108)</f>
        <v>1832</v>
      </c>
      <c r="D109" s="115">
        <f t="shared" si="4"/>
        <v>0.26804277564731893</v>
      </c>
      <c r="E109" s="53">
        <f>(1*E108)</f>
        <v>0</v>
      </c>
      <c r="F109" s="115">
        <f t="shared" si="5"/>
        <v>0</v>
      </c>
      <c r="G109" s="53">
        <f>(1*G108)</f>
        <v>0</v>
      </c>
      <c r="H109" s="53">
        <f>(1*H108)</f>
        <v>0</v>
      </c>
      <c r="I109" s="53">
        <f>(1*I108)</f>
        <v>0</v>
      </c>
      <c r="K109" s="52" t="s">
        <v>1174</v>
      </c>
      <c r="L109" s="52" t="s">
        <v>300</v>
      </c>
      <c r="M109" s="53">
        <f t="shared" ref="M109:R109" si="35">SUM(M108)</f>
        <v>1832</v>
      </c>
      <c r="N109" s="53">
        <f t="shared" si="35"/>
        <v>1940.6779661016951</v>
      </c>
      <c r="O109" s="53">
        <f t="shared" si="35"/>
        <v>285.2</v>
      </c>
      <c r="P109" s="53">
        <f t="shared" si="35"/>
        <v>890741.89928135613</v>
      </c>
      <c r="Q109" s="53">
        <f t="shared" si="35"/>
        <v>149.30000000000001</v>
      </c>
      <c r="R109" s="53">
        <f t="shared" si="35"/>
        <v>466296.51319322048</v>
      </c>
      <c r="S109" s="45"/>
      <c r="T109" s="44"/>
    </row>
    <row r="110" spans="1:20" ht="28.5">
      <c r="A110" s="49" t="s">
        <v>569</v>
      </c>
      <c r="B110" s="49" t="s">
        <v>43</v>
      </c>
      <c r="C110" s="50">
        <v>1617</v>
      </c>
      <c r="D110" s="78">
        <f t="shared" si="4"/>
        <v>0.23658579051403639</v>
      </c>
      <c r="E110" s="56">
        <v>455</v>
      </c>
      <c r="F110" s="78">
        <f t="shared" si="5"/>
        <v>0.52133461661854352</v>
      </c>
      <c r="G110" s="61">
        <v>23</v>
      </c>
      <c r="H110" s="61">
        <v>455</v>
      </c>
      <c r="I110" s="56">
        <v>23</v>
      </c>
      <c r="K110" s="49" t="s">
        <v>569</v>
      </c>
      <c r="L110" s="49" t="s">
        <v>43</v>
      </c>
      <c r="M110" s="50">
        <v>1617</v>
      </c>
      <c r="N110" s="76">
        <f t="shared" si="24"/>
        <v>1712.9237288135594</v>
      </c>
      <c r="O110" s="108">
        <f ca="1">1*'UK Distances'!F10</f>
        <v>149.4</v>
      </c>
      <c r="P110" s="102">
        <f ca="1">(N110*O110*$B$183)</f>
        <v>411848.51869830512</v>
      </c>
      <c r="Q110" s="108">
        <f ca="1">1*'UK Distances'!I10</f>
        <v>79.400000000000006</v>
      </c>
      <c r="R110" s="101">
        <f>(N110*Q110*$B$183)</f>
        <v>218880.6719186441</v>
      </c>
      <c r="S110" s="45">
        <f>(P110)/$N$112</f>
        <v>0.56883739613883799</v>
      </c>
      <c r="T110" s="45">
        <f>(R110)/$N$112</f>
        <v>0.30231385042452302</v>
      </c>
    </row>
    <row r="111" spans="1:20" ht="15">
      <c r="A111" s="52" t="s">
        <v>1174</v>
      </c>
      <c r="B111" s="52" t="s">
        <v>323</v>
      </c>
      <c r="C111" s="53">
        <f>(1*C110)</f>
        <v>1617</v>
      </c>
      <c r="D111" s="115">
        <f t="shared" si="4"/>
        <v>0.23658579051403639</v>
      </c>
      <c r="E111" s="53">
        <f>(1*E110)</f>
        <v>455</v>
      </c>
      <c r="F111" s="115">
        <f t="shared" si="5"/>
        <v>0.52133461661854352</v>
      </c>
      <c r="G111" s="53">
        <f>(1*G110)</f>
        <v>23</v>
      </c>
      <c r="H111" s="53">
        <f>(1*H110)</f>
        <v>455</v>
      </c>
      <c r="I111" s="53">
        <f>(1*I110)</f>
        <v>23</v>
      </c>
      <c r="K111" s="52" t="s">
        <v>1174</v>
      </c>
      <c r="L111" s="52" t="s">
        <v>323</v>
      </c>
      <c r="M111" s="53">
        <f t="shared" ref="M111:R111" si="36">SUM(M110)</f>
        <v>1617</v>
      </c>
      <c r="N111" s="53">
        <f t="shared" si="36"/>
        <v>1712.9237288135594</v>
      </c>
      <c r="O111" s="53">
        <f t="shared" si="36"/>
        <v>149.4</v>
      </c>
      <c r="P111" s="53">
        <f t="shared" si="36"/>
        <v>411848.51869830512</v>
      </c>
      <c r="Q111" s="53">
        <f t="shared" si="36"/>
        <v>79.400000000000006</v>
      </c>
      <c r="R111" s="53">
        <f t="shared" si="36"/>
        <v>218880.6719186441</v>
      </c>
      <c r="S111" s="45"/>
      <c r="T111" s="44"/>
    </row>
    <row r="112" spans="1:20" ht="15">
      <c r="A112" s="52" t="s">
        <v>646</v>
      </c>
      <c r="B112" s="52"/>
      <c r="C112" s="53">
        <f>SUM(C102:C104)+SUM(C97:C99)+SUM(C84:C94)+SUM(C68:C77)+SUM(C66)+SUM(C62:C63)+SUM(C51:C57)+C60+C80+C82+C106+C108+C110</f>
        <v>683473</v>
      </c>
      <c r="D112" s="115">
        <f t="shared" si="4"/>
        <v>100</v>
      </c>
      <c r="E112" s="53">
        <f>SUM(E102:E104)+SUM(E97:E99)+SUM(E84:E94)+SUM(E68:E77)+SUM(E66)+SUM(E62:E63)+SUM(E51:E57)+E60+E80+E82+E106+E108+E110</f>
        <v>87276</v>
      </c>
      <c r="F112" s="115">
        <f t="shared" si="5"/>
        <v>100</v>
      </c>
      <c r="G112" s="63">
        <f>SUM(G102:G104)+SUM(G97:G99)+SUM(G84:G94)+SUM(G68:G77)+SUM(G66)+SUM(G62:G63)+SUM(G51:G57)+G60+G80+G82+G106+G108+G110</f>
        <v>4362</v>
      </c>
      <c r="H112" s="63">
        <f>SUM(H102:H104)+SUM(H97:H99)+SUM(H84:H94)+SUM(H68:H77)+SUM(H66)+SUM(H62:H63)+SUM(H51:H57)+H60+H80+H82+H106+H108+H110</f>
        <v>60527</v>
      </c>
      <c r="I112" s="53">
        <f>SUM(I102:I104)+SUM(I97:I99)+SUM(I84:I94)+SUM(I68:I77)+SUM(I66)+SUM(I62:I63)+SUM(I51:I57)+I60+I80+I82+I106+I108+I110</f>
        <v>3025</v>
      </c>
      <c r="K112" s="175" t="s">
        <v>646</v>
      </c>
      <c r="L112" s="175"/>
      <c r="M112" s="177">
        <f>SUM(M102:M104)+SUM(M97:M99)+SUM(M84:M94)+SUM(M68:M77)+SUM(M66)+SUM(M62:M63)+SUM(M51:M57)+M60+M80+M82+M106+M108+M110</f>
        <v>683473</v>
      </c>
      <c r="N112" s="182">
        <f t="shared" si="24"/>
        <v>724018.00847457629</v>
      </c>
      <c r="O112" s="177"/>
      <c r="P112" s="177">
        <f ca="1">SUM(P102:P104)+SUM(P97:P99)+SUM(P84:P94)+SUM(P68:P77)+SUM(P66)+SUM(P62:P63)+SUM(P51:P57)+P60+P80+P82+P106+P108+P110</f>
        <v>128231931.76864104</v>
      </c>
      <c r="Q112" s="183"/>
      <c r="R112" s="177">
        <f>SUM(R102:R104)+SUM(R97:R99)+SUM(R84:R94)+SUM(R68:R77)+SUM(R66)+SUM(R62:R63)+SUM(R51:R57)+R60+R80+R82+R106+R108+R110</f>
        <v>206688969.96999326</v>
      </c>
      <c r="S112" s="184">
        <f>SUM(S102:S104)+SUM(S97:S99)+SUM(S84:S94)+SUM(S68:S77)+SUM(S66)+SUM(S62:S63)+SUM(S51:S57)+S60+S80+S82+S106+S108+S110</f>
        <v>177.11152245896636</v>
      </c>
      <c r="T112" s="184">
        <f>SUM(T102:T104)+SUM(T97:T99)+SUM(T84:T94)+SUM(T68:T77)+SUM(T66)+SUM(T62:T63)+SUM(T51:T57)+T60+T80+T82+T106+T108+T110</f>
        <v>285.47490193712656</v>
      </c>
    </row>
    <row r="113" spans="1:19" ht="32.25">
      <c r="A113" s="321" t="s">
        <v>462</v>
      </c>
      <c r="B113" s="321"/>
      <c r="C113" s="322"/>
      <c r="D113" s="322"/>
      <c r="E113" s="322"/>
      <c r="F113" s="117"/>
      <c r="G113" s="117"/>
      <c r="H113" s="117"/>
      <c r="I113" s="117"/>
      <c r="K113" s="84" t="s">
        <v>376</v>
      </c>
      <c r="L113" s="44"/>
      <c r="M113" s="44"/>
      <c r="N113" s="44"/>
      <c r="O113" s="112">
        <f ca="1">1*'UK Distances'!F44*B183</f>
        <v>338.15491423999993</v>
      </c>
      <c r="P113" s="112">
        <f ca="1">(N112*O113)</f>
        <v>244830247.56393588</v>
      </c>
      <c r="Q113" s="112">
        <f ca="1">1*'UK Distances'!I44*B183</f>
        <v>309.60202240000001</v>
      </c>
      <c r="R113" s="112">
        <f>(N112*Q113)</f>
        <v>224157439.67774916</v>
      </c>
      <c r="S113" s="73"/>
    </row>
    <row r="114" spans="1:19" ht="45">
      <c r="A114" s="321" t="s">
        <v>463</v>
      </c>
      <c r="B114" s="321"/>
      <c r="C114" s="322"/>
      <c r="D114" s="322"/>
      <c r="E114" s="117"/>
      <c r="F114" s="117"/>
      <c r="G114" s="117"/>
      <c r="H114" s="117"/>
      <c r="I114" s="117"/>
      <c r="K114" s="120" t="s">
        <v>178</v>
      </c>
      <c r="L114" s="117"/>
      <c r="M114" s="117"/>
      <c r="N114" s="117"/>
      <c r="O114" s="117"/>
      <c r="P114" s="117"/>
      <c r="Q114" s="117"/>
      <c r="R114" s="117"/>
    </row>
    <row r="115" spans="1:19" ht="30">
      <c r="A115" s="117" t="s">
        <v>464</v>
      </c>
      <c r="B115" s="117"/>
      <c r="C115" s="117"/>
      <c r="D115" s="117"/>
      <c r="E115" s="117"/>
      <c r="F115" s="117"/>
      <c r="G115" s="117"/>
      <c r="H115" s="117"/>
      <c r="I115" s="117"/>
      <c r="K115" s="119" t="s">
        <v>473</v>
      </c>
      <c r="M115" s="122">
        <f>(M112-M87-M102-M103-M104)</f>
        <v>345809</v>
      </c>
      <c r="N115" s="122">
        <f>(N112-N87-N102-N103-N104)</f>
        <v>366323.09322033892</v>
      </c>
      <c r="O115" s="122">
        <f>1*O113</f>
        <v>338.15491423999993</v>
      </c>
      <c r="P115" s="122">
        <f>(N115*O113*B183)+((N86+N102+N103+N104)*O104*B183)</f>
        <v>200407217.97913983</v>
      </c>
      <c r="Q115" s="122"/>
      <c r="R115" s="122"/>
    </row>
    <row r="116" spans="1:19" ht="30">
      <c r="A116" s="117" t="s">
        <v>465</v>
      </c>
      <c r="B116" s="117"/>
      <c r="C116" s="117"/>
      <c r="D116" s="117"/>
      <c r="E116" s="117"/>
      <c r="F116" s="117"/>
      <c r="G116" s="117"/>
      <c r="H116" s="117"/>
      <c r="I116" s="117"/>
      <c r="K116" s="185" t="s">
        <v>265</v>
      </c>
      <c r="L116" s="186"/>
      <c r="M116" s="186"/>
      <c r="N116" s="186"/>
      <c r="O116" s="187">
        <f>(1*S112)</f>
        <v>177.11152245896636</v>
      </c>
      <c r="P116" s="188">
        <f>(N112*O116)</f>
        <v>128231931.76864101</v>
      </c>
      <c r="Q116" s="189">
        <f>(1*T112)</f>
        <v>285.47490193712656</v>
      </c>
      <c r="R116" s="188">
        <f>(Q116*N112)</f>
        <v>206688969.96999332</v>
      </c>
    </row>
    <row r="117" spans="1:19">
      <c r="A117" s="117" t="s">
        <v>460</v>
      </c>
      <c r="B117" s="117"/>
      <c r="C117" s="117"/>
      <c r="D117" s="117"/>
      <c r="E117" s="118" t="s">
        <v>459</v>
      </c>
      <c r="F117" s="118">
        <f>(E112-I112)</f>
        <v>84251</v>
      </c>
      <c r="G117" s="117"/>
      <c r="H117" s="117"/>
      <c r="I117" s="117"/>
    </row>
    <row r="118" spans="1:19">
      <c r="A118" t="s">
        <v>375</v>
      </c>
    </row>
    <row r="119" spans="1:19" ht="77.25" customHeight="1">
      <c r="A119" s="52" t="s">
        <v>575</v>
      </c>
      <c r="B119" s="52" t="s">
        <v>20</v>
      </c>
      <c r="C119" s="49" t="s">
        <v>452</v>
      </c>
      <c r="D119" s="49" t="s">
        <v>453</v>
      </c>
      <c r="E119" s="84" t="s">
        <v>103</v>
      </c>
      <c r="F119" s="88" t="s">
        <v>1239</v>
      </c>
      <c r="G119" s="52" t="s">
        <v>145</v>
      </c>
      <c r="H119" s="84" t="s">
        <v>1236</v>
      </c>
      <c r="I119" s="84" t="s">
        <v>146</v>
      </c>
      <c r="J119" s="84" t="s">
        <v>147</v>
      </c>
      <c r="K119" s="84" t="s">
        <v>475</v>
      </c>
      <c r="L119" s="84" t="s">
        <v>474</v>
      </c>
    </row>
    <row r="120" spans="1:19">
      <c r="A120" s="49" t="s">
        <v>360</v>
      </c>
      <c r="B120" s="49" t="s">
        <v>26</v>
      </c>
      <c r="C120" s="56">
        <v>4737</v>
      </c>
      <c r="D120" s="103">
        <v>44</v>
      </c>
      <c r="E120" s="83">
        <f>(C120-D120)</f>
        <v>4693</v>
      </c>
      <c r="F120" s="89">
        <f>(5/4.72)*E120</f>
        <v>4971.3983050847464</v>
      </c>
      <c r="G120" s="76">
        <f ca="1">1*'UK Distances'!F19</f>
        <v>402.7</v>
      </c>
      <c r="H120" s="57">
        <f ca="1">1*F120*G120*$B$183</f>
        <v>3221877.876650848</v>
      </c>
      <c r="I120" s="81">
        <f ca="1">1*'UK Distances'!I19</f>
        <v>251.8</v>
      </c>
      <c r="J120" s="57">
        <f>F120*I120*$B$183</f>
        <v>2014573.7505355936</v>
      </c>
      <c r="K120" s="45">
        <f>(H120/$F$181)</f>
        <v>36.099900482586563</v>
      </c>
      <c r="L120" s="45">
        <f>(J120/$F$181)</f>
        <v>22.572522824721371</v>
      </c>
    </row>
    <row r="121" spans="1:19">
      <c r="A121" s="49" t="s">
        <v>364</v>
      </c>
      <c r="B121" s="49" t="s">
        <v>26</v>
      </c>
      <c r="C121" s="56">
        <v>5476</v>
      </c>
      <c r="D121" s="103">
        <v>45</v>
      </c>
      <c r="E121" s="83">
        <f t="shared" ref="E121:E180" si="37">(C121-D121)</f>
        <v>5431</v>
      </c>
      <c r="F121" s="89">
        <f>(5/4.72)*E121</f>
        <v>5753.1779661016953</v>
      </c>
      <c r="G121" s="76">
        <f ca="1">1*'UK Distances'!F21</f>
        <v>132.12</v>
      </c>
      <c r="H121" s="57">
        <f t="shared" ref="H121:H126" si="38">1*F121*G121*$B$183</f>
        <v>1223278.2632623732</v>
      </c>
      <c r="I121" s="81">
        <f ca="1">1*'UK Distances'!I21</f>
        <v>102.2</v>
      </c>
      <c r="J121" s="57">
        <f t="shared" ref="J121:J126" si="39">F121*I121*$B$183</f>
        <v>946253.69743728836</v>
      </c>
      <c r="K121" s="45">
        <f t="shared" ref="K121:K126" si="40">(H121/$F$181)</f>
        <v>13.706361711073818</v>
      </c>
      <c r="L121" s="45">
        <f t="shared" ref="L121:L126" si="41">(J121/$F$181)</f>
        <v>10.602408165847292</v>
      </c>
    </row>
    <row r="122" spans="1:19">
      <c r="A122" s="49" t="s">
        <v>366</v>
      </c>
      <c r="B122" s="49" t="s">
        <v>26</v>
      </c>
      <c r="C122" s="56">
        <v>5425</v>
      </c>
      <c r="D122" s="103">
        <v>45</v>
      </c>
      <c r="E122" s="83">
        <f t="shared" si="37"/>
        <v>5380</v>
      </c>
      <c r="F122" s="89">
        <f t="shared" ref="F122:F151" si="42">(5/4.72)*E122</f>
        <v>5699.1525423728817</v>
      </c>
      <c r="G122" s="76">
        <f ca="1">1*'UK Distances'!F23</f>
        <v>68.16</v>
      </c>
      <c r="H122" s="57">
        <f t="shared" si="38"/>
        <v>625156.49605423736</v>
      </c>
      <c r="I122" s="81">
        <f ca="1">1*'UK Distances'!I23</f>
        <v>103</v>
      </c>
      <c r="J122" s="57">
        <f t="shared" si="39"/>
        <v>944705.38576271199</v>
      </c>
      <c r="K122" s="45">
        <f t="shared" si="40"/>
        <v>7.0046377167653802</v>
      </c>
      <c r="L122" s="45">
        <f t="shared" si="41"/>
        <v>10.585059929971159</v>
      </c>
    </row>
    <row r="123" spans="1:19">
      <c r="A123" s="49" t="s">
        <v>367</v>
      </c>
      <c r="B123" s="49" t="s">
        <v>26</v>
      </c>
      <c r="C123" s="56">
        <v>3035</v>
      </c>
      <c r="D123" s="103">
        <v>0</v>
      </c>
      <c r="E123" s="83">
        <f t="shared" si="37"/>
        <v>3035</v>
      </c>
      <c r="F123" s="89">
        <f t="shared" si="42"/>
        <v>3215.0423728813562</v>
      </c>
      <c r="G123" s="76">
        <f ca="1">1*'UK Distances'!F23</f>
        <v>68.16</v>
      </c>
      <c r="H123" s="57">
        <f t="shared" si="38"/>
        <v>352667.2798372882</v>
      </c>
      <c r="I123" s="81">
        <f ca="1">1*'UK Distances'!I23</f>
        <v>103</v>
      </c>
      <c r="J123" s="57">
        <f t="shared" si="39"/>
        <v>532933.24271186453</v>
      </c>
      <c r="K123" s="45">
        <f t="shared" si="40"/>
        <v>3.951501016799801</v>
      </c>
      <c r="L123" s="45">
        <f t="shared" si="41"/>
        <v>5.9713116891194176</v>
      </c>
    </row>
    <row r="124" spans="1:19">
      <c r="A124" s="49" t="s">
        <v>467</v>
      </c>
      <c r="B124" s="49" t="s">
        <v>26</v>
      </c>
      <c r="C124" s="56">
        <v>4505</v>
      </c>
      <c r="D124" s="103">
        <v>62</v>
      </c>
      <c r="E124" s="83">
        <f t="shared" si="37"/>
        <v>4443</v>
      </c>
      <c r="F124" s="89">
        <f t="shared" si="42"/>
        <v>4706.5677966101694</v>
      </c>
      <c r="G124" s="76">
        <f ca="1">1*'UK Distances'!F24</f>
        <v>315</v>
      </c>
      <c r="H124" s="57">
        <f t="shared" si="38"/>
        <v>2385963.2928813561</v>
      </c>
      <c r="I124" s="81">
        <f ca="1">1*'UK Distances'!I24</f>
        <v>219.7</v>
      </c>
      <c r="J124" s="57">
        <f t="shared" si="39"/>
        <v>1664114.7157016948</v>
      </c>
      <c r="K124" s="45">
        <f t="shared" si="40"/>
        <v>26.733799580776488</v>
      </c>
      <c r="L124" s="45">
        <f t="shared" si="41"/>
        <v>18.645764342528871</v>
      </c>
    </row>
    <row r="125" spans="1:19">
      <c r="A125" s="49" t="s">
        <v>620</v>
      </c>
      <c r="B125" s="49" t="s">
        <v>26</v>
      </c>
      <c r="C125" s="56">
        <v>3233</v>
      </c>
      <c r="D125" s="103">
        <v>10</v>
      </c>
      <c r="E125" s="83">
        <f t="shared" si="37"/>
        <v>3223</v>
      </c>
      <c r="F125" s="89">
        <f t="shared" si="42"/>
        <v>3414.1949152542375</v>
      </c>
      <c r="G125" s="76">
        <f ca="1">1*'UK Distances'!F25</f>
        <v>177.76</v>
      </c>
      <c r="H125" s="57">
        <f t="shared" si="38"/>
        <v>976722.60271728807</v>
      </c>
      <c r="I125" s="81">
        <f ca="1">1*'UK Distances'!I25</f>
        <v>278</v>
      </c>
      <c r="J125" s="57">
        <f t="shared" si="39"/>
        <v>1527502.7202711864</v>
      </c>
      <c r="K125" s="45">
        <f t="shared" si="40"/>
        <v>10.943800512339555</v>
      </c>
      <c r="L125" s="45">
        <f t="shared" si="41"/>
        <v>17.115079559126894</v>
      </c>
    </row>
    <row r="126" spans="1:19">
      <c r="A126" s="49" t="s">
        <v>567</v>
      </c>
      <c r="B126" s="49" t="s">
        <v>26</v>
      </c>
      <c r="C126" s="57">
        <v>2915</v>
      </c>
      <c r="D126" s="103">
        <v>0</v>
      </c>
      <c r="E126" s="83">
        <f t="shared" si="37"/>
        <v>2915</v>
      </c>
      <c r="F126" s="89">
        <f t="shared" si="42"/>
        <v>3087.9237288135596</v>
      </c>
      <c r="G126" s="76">
        <f ca="1">1*'UK Distances'!F34</f>
        <v>145.16</v>
      </c>
      <c r="H126" s="57">
        <f t="shared" si="38"/>
        <v>721377.1962305085</v>
      </c>
      <c r="I126" s="81">
        <f ca="1">1*'UK Distances'!I34</f>
        <v>215.3</v>
      </c>
      <c r="J126" s="57">
        <f t="shared" si="39"/>
        <v>1069940.1374237291</v>
      </c>
      <c r="K126" s="45">
        <f t="shared" si="40"/>
        <v>8.0827535962967794</v>
      </c>
      <c r="L126" s="45">
        <f t="shared" si="41"/>
        <v>11.988267079654843</v>
      </c>
    </row>
    <row r="127" spans="1:19" ht="15">
      <c r="A127" s="52" t="s">
        <v>539</v>
      </c>
      <c r="B127" s="52" t="s">
        <v>26</v>
      </c>
      <c r="C127" s="93">
        <f>AVERAGE(C120:C126)</f>
        <v>4189.4285714285716</v>
      </c>
      <c r="D127" s="93">
        <f>AVERAGE(D120:D126)</f>
        <v>29.428571428571427</v>
      </c>
      <c r="E127" s="90">
        <f t="shared" si="37"/>
        <v>4160</v>
      </c>
      <c r="F127" s="91">
        <f t="shared" si="42"/>
        <v>4406.7796610169498</v>
      </c>
      <c r="G127" s="93">
        <f ca="1">AVERAGE(G120:G126)</f>
        <v>187.00857142857143</v>
      </c>
      <c r="H127" s="93">
        <f ca="1">AVERAGE(H120:H126)</f>
        <v>1358149.0010905568</v>
      </c>
      <c r="I127" s="93">
        <f ca="1">AVERAGE(I120:I126)</f>
        <v>181.85714285714286</v>
      </c>
      <c r="J127" s="93">
        <f>AVERAGE(J120:J126)</f>
        <v>1242860.5214062955</v>
      </c>
      <c r="K127" s="45"/>
      <c r="L127" s="45"/>
    </row>
    <row r="128" spans="1:19" ht="15">
      <c r="A128" s="52" t="s">
        <v>1174</v>
      </c>
      <c r="B128" s="52" t="s">
        <v>26</v>
      </c>
      <c r="C128" s="93">
        <f>SUM(C120:C126)</f>
        <v>29326</v>
      </c>
      <c r="D128" s="93">
        <f>SUM(D120:D126)</f>
        <v>206</v>
      </c>
      <c r="E128" s="90">
        <f t="shared" si="37"/>
        <v>29120</v>
      </c>
      <c r="F128" s="91">
        <f t="shared" si="42"/>
        <v>30847.457627118645</v>
      </c>
      <c r="G128" s="93">
        <f ca="1">SUM(G120:G126)</f>
        <v>1309.06</v>
      </c>
      <c r="H128" s="93">
        <f ca="1">SUM(H120:H126)</f>
        <v>9507043.0076338984</v>
      </c>
      <c r="I128" s="93">
        <f ca="1">SUM(I120:I126)</f>
        <v>1273</v>
      </c>
      <c r="J128" s="93">
        <f>SUM(J120:J126)</f>
        <v>8700023.649844069</v>
      </c>
      <c r="K128" s="45"/>
      <c r="L128" s="45"/>
    </row>
    <row r="129" spans="1:12">
      <c r="A129" s="49" t="s">
        <v>449</v>
      </c>
      <c r="B129" s="49" t="s">
        <v>325</v>
      </c>
      <c r="C129" s="56">
        <v>8</v>
      </c>
      <c r="D129" s="56">
        <v>0</v>
      </c>
      <c r="E129" s="83">
        <f t="shared" si="37"/>
        <v>8</v>
      </c>
      <c r="F129" s="89">
        <f>(5/4.72)*E129</f>
        <v>8.4745762711864412</v>
      </c>
      <c r="G129" s="76">
        <f ca="1">1*'UK Distances'!F32</f>
        <v>373.27</v>
      </c>
      <c r="H129" s="57">
        <f ca="1">1*F129*G129*$B$183</f>
        <v>5090.8460583050846</v>
      </c>
      <c r="I129" s="81">
        <f ca="1">1*'UK Distances'!I32</f>
        <v>207.7</v>
      </c>
      <c r="J129" s="57">
        <f>F129*I129*$B$183</f>
        <v>2832.7182101694921</v>
      </c>
      <c r="K129" s="45">
        <f>(H129/$F$181)</f>
        <v>5.7040968997875391E-2</v>
      </c>
      <c r="L129" s="45">
        <f>(J129/$F$181)</f>
        <v>3.1739516330963433E-2</v>
      </c>
    </row>
    <row r="130" spans="1:12" ht="15">
      <c r="A130" s="52" t="s">
        <v>1174</v>
      </c>
      <c r="B130" s="52" t="s">
        <v>324</v>
      </c>
      <c r="C130" s="104">
        <f>SUM(C129)</f>
        <v>8</v>
      </c>
      <c r="D130" s="93">
        <f t="shared" ref="D130:J130" si="43">SUM(D129)</f>
        <v>0</v>
      </c>
      <c r="E130" s="93">
        <f t="shared" si="43"/>
        <v>8</v>
      </c>
      <c r="F130" s="93">
        <f t="shared" si="43"/>
        <v>8.4745762711864412</v>
      </c>
      <c r="G130" s="93">
        <f t="shared" si="43"/>
        <v>373.27</v>
      </c>
      <c r="H130" s="93">
        <f t="shared" si="43"/>
        <v>5090.8460583050846</v>
      </c>
      <c r="I130" s="93">
        <f t="shared" si="43"/>
        <v>207.7</v>
      </c>
      <c r="J130" s="93">
        <f t="shared" si="43"/>
        <v>2832.7182101694921</v>
      </c>
      <c r="K130" s="45"/>
      <c r="L130" s="45"/>
    </row>
    <row r="131" spans="1:12">
      <c r="A131" s="49" t="s">
        <v>458</v>
      </c>
      <c r="B131" s="49" t="s">
        <v>21</v>
      </c>
      <c r="C131" s="56">
        <v>743</v>
      </c>
      <c r="D131" s="56">
        <v>37</v>
      </c>
      <c r="E131" s="83">
        <f t="shared" si="37"/>
        <v>706</v>
      </c>
      <c r="F131" s="89">
        <f t="shared" si="42"/>
        <v>747.88135593220341</v>
      </c>
      <c r="G131" s="76">
        <f ca="1">1*'UK Distances'!F5</f>
        <v>297.06</v>
      </c>
      <c r="H131" s="57">
        <f ca="1">1*F131*G131*$B$183</f>
        <v>357540.93264813564</v>
      </c>
      <c r="I131" s="81">
        <f ca="1">1*'UK Distances'!I5</f>
        <v>156.1</v>
      </c>
      <c r="J131" s="57">
        <f>F131*I131*$B$183</f>
        <v>187881.70600677966</v>
      </c>
      <c r="K131" s="45">
        <f>(H131/$F$181)</f>
        <v>4.0061084191266572</v>
      </c>
      <c r="L131" s="45">
        <f>(J131/$F$181)</f>
        <v>2.1051421403947725</v>
      </c>
    </row>
    <row r="132" spans="1:12">
      <c r="A132" s="49" t="s">
        <v>28</v>
      </c>
      <c r="B132" s="49" t="s">
        <v>21</v>
      </c>
      <c r="C132" s="56">
        <v>113</v>
      </c>
      <c r="D132" s="56">
        <v>6</v>
      </c>
      <c r="E132" s="83">
        <f t="shared" si="37"/>
        <v>107</v>
      </c>
      <c r="F132" s="89">
        <f t="shared" si="42"/>
        <v>113.34745762711866</v>
      </c>
      <c r="G132" s="76">
        <f ca="1">1*'UK Distances'!F11</f>
        <v>294.98</v>
      </c>
      <c r="H132" s="57">
        <f ca="1">1*F132*G132*$B$183</f>
        <v>53808.791698983063</v>
      </c>
      <c r="I132" s="81">
        <f ca="1">1*'UK Distances'!I11</f>
        <v>198.2</v>
      </c>
      <c r="J132" s="57">
        <f>F132*I132*$B$183</f>
        <v>36154.663077966106</v>
      </c>
      <c r="K132" s="45">
        <f>(H132/$F$181)</f>
        <v>0.60290678287308175</v>
      </c>
      <c r="L132" s="45">
        <f>(J132/$F$181)</f>
        <v>0.40509907236234588</v>
      </c>
    </row>
    <row r="133" spans="1:12" ht="15">
      <c r="A133" s="53" t="s">
        <v>539</v>
      </c>
      <c r="B133" s="53" t="s">
        <v>21</v>
      </c>
      <c r="C133" s="93">
        <f>AVERAGE(C131:C132)</f>
        <v>428</v>
      </c>
      <c r="D133" s="93">
        <f>AVERAGE(D131:D132)</f>
        <v>21.5</v>
      </c>
      <c r="E133" s="90">
        <f>(C133-D133)</f>
        <v>406.5</v>
      </c>
      <c r="F133" s="91">
        <f t="shared" si="42"/>
        <v>430.61440677966107</v>
      </c>
      <c r="G133" s="93">
        <f ca="1">AVERAGE(G131:G132)</f>
        <v>296.02</v>
      </c>
      <c r="H133" s="93">
        <f ca="1">AVERAGE(H131:H132)</f>
        <v>205674.86217355935</v>
      </c>
      <c r="I133" s="93">
        <f ca="1">AVERAGE(I131:I132)</f>
        <v>177.14999999999998</v>
      </c>
      <c r="J133" s="93">
        <f>AVERAGE(J131:J132)</f>
        <v>112018.18454237288</v>
      </c>
      <c r="K133" s="45"/>
      <c r="L133" s="45"/>
    </row>
    <row r="134" spans="1:12" ht="15">
      <c r="A134" s="53" t="s">
        <v>1174</v>
      </c>
      <c r="B134" s="53" t="s">
        <v>21</v>
      </c>
      <c r="C134" s="93">
        <f>SUM(C131:C132)</f>
        <v>856</v>
      </c>
      <c r="D134" s="93">
        <f>SUM(D131:D132)</f>
        <v>43</v>
      </c>
      <c r="E134" s="90">
        <f t="shared" si="37"/>
        <v>813</v>
      </c>
      <c r="F134" s="91">
        <f t="shared" si="42"/>
        <v>861.22881355932213</v>
      </c>
      <c r="G134" s="93">
        <f ca="1">SUM(G131:G132)</f>
        <v>592.04</v>
      </c>
      <c r="H134" s="93">
        <f ca="1">SUM(H131:H132)</f>
        <v>411349.7243471187</v>
      </c>
      <c r="I134" s="93">
        <f ca="1">SUM(I131:I132)</f>
        <v>354.29999999999995</v>
      </c>
      <c r="J134" s="93">
        <f>SUM(J131:J132)</f>
        <v>224036.36908474576</v>
      </c>
      <c r="K134" s="45"/>
      <c r="L134" s="45"/>
    </row>
    <row r="135" spans="1:12" ht="28.5">
      <c r="A135" s="49" t="s">
        <v>570</v>
      </c>
      <c r="B135" s="49" t="s">
        <v>1172</v>
      </c>
      <c r="C135" s="56">
        <v>0</v>
      </c>
      <c r="D135" s="56">
        <v>0</v>
      </c>
      <c r="E135" s="83">
        <f t="shared" si="37"/>
        <v>0</v>
      </c>
      <c r="F135" s="89">
        <f t="shared" si="42"/>
        <v>0</v>
      </c>
      <c r="G135" s="76">
        <f ca="1">1*'UK Distances'!F44</f>
        <v>210.11972222222215</v>
      </c>
      <c r="H135" s="57">
        <f ca="1">1*F135*G135*$B$183</f>
        <v>0</v>
      </c>
      <c r="I135" s="76">
        <f ca="1">1*'UK Distances'!I44</f>
        <v>192.37777777777777</v>
      </c>
      <c r="J135" s="57">
        <f>F135*I135*$B$183</f>
        <v>0</v>
      </c>
      <c r="K135" s="45">
        <f>(H135/$F$181)</f>
        <v>0</v>
      </c>
      <c r="L135" s="45">
        <f>(J135/$F$181)</f>
        <v>0</v>
      </c>
    </row>
    <row r="136" spans="1:12" ht="15">
      <c r="A136" s="52" t="s">
        <v>1174</v>
      </c>
      <c r="B136" s="52" t="s">
        <v>326</v>
      </c>
      <c r="C136" s="104">
        <f>SUM(C135)</f>
        <v>0</v>
      </c>
      <c r="D136" s="93">
        <f t="shared" ref="D136:J136" si="44">SUM(D135)</f>
        <v>0</v>
      </c>
      <c r="E136" s="93">
        <f t="shared" si="44"/>
        <v>0</v>
      </c>
      <c r="F136" s="93">
        <f t="shared" si="44"/>
        <v>0</v>
      </c>
      <c r="G136" s="93">
        <f t="shared" si="44"/>
        <v>210.11972222222215</v>
      </c>
      <c r="H136" s="93">
        <f t="shared" si="44"/>
        <v>0</v>
      </c>
      <c r="I136" s="93">
        <f t="shared" si="44"/>
        <v>192.37777777777777</v>
      </c>
      <c r="J136" s="93">
        <f t="shared" si="44"/>
        <v>0</v>
      </c>
      <c r="K136" s="45"/>
      <c r="L136" s="45"/>
    </row>
    <row r="137" spans="1:12">
      <c r="A137" s="49" t="s">
        <v>454</v>
      </c>
      <c r="B137" s="49" t="s">
        <v>22</v>
      </c>
      <c r="C137" s="57">
        <v>2704</v>
      </c>
      <c r="D137" s="57">
        <v>135</v>
      </c>
      <c r="E137" s="102">
        <f t="shared" si="37"/>
        <v>2569</v>
      </c>
      <c r="F137" s="100">
        <f t="shared" si="42"/>
        <v>2721.398305084746</v>
      </c>
      <c r="G137" s="57">
        <f ca="1">1*'UK Distances'!F4</f>
        <v>303.07</v>
      </c>
      <c r="H137" s="57">
        <f t="shared" ref="H137:H146" si="45">1*F137*G137*$B$183</f>
        <v>1327345.3848935594</v>
      </c>
      <c r="I137" s="57">
        <f ca="1">1*'UK Distances'!I4</f>
        <v>177.6</v>
      </c>
      <c r="J137" s="57">
        <f t="shared" ref="J137:J146" si="46">F137*I137*$B$183</f>
        <v>777828.6876203391</v>
      </c>
      <c r="K137" s="45">
        <f t="shared" ref="K137:K146" si="47">(H137/$F$181)</f>
        <v>14.87239372042492</v>
      </c>
      <c r="L137" s="45">
        <f t="shared" ref="L137:L146" si="48">(J137/$F$181)</f>
        <v>8.7152708111903721</v>
      </c>
    </row>
    <row r="138" spans="1:12">
      <c r="A138" s="49" t="s">
        <v>455</v>
      </c>
      <c r="B138" s="49" t="s">
        <v>22</v>
      </c>
      <c r="C138" s="57">
        <v>20</v>
      </c>
      <c r="D138" s="57">
        <v>1</v>
      </c>
      <c r="E138" s="102">
        <f t="shared" si="37"/>
        <v>19</v>
      </c>
      <c r="F138" s="100">
        <f t="shared" si="42"/>
        <v>20.127118644067799</v>
      </c>
      <c r="G138" s="57">
        <f ca="1">1*'UK Distances'!F6</f>
        <v>36.54</v>
      </c>
      <c r="H138" s="57">
        <f t="shared" si="45"/>
        <v>1183.5838616949154</v>
      </c>
      <c r="I138" s="57">
        <f ca="1">1*'UK Distances'!I6</f>
        <v>142</v>
      </c>
      <c r="J138" s="57">
        <f t="shared" si="46"/>
        <v>4599.5869830508491</v>
      </c>
      <c r="K138" s="45">
        <f t="shared" si="47"/>
        <v>1.3261601232507627E-2</v>
      </c>
      <c r="L138" s="45">
        <f t="shared" si="48"/>
        <v>5.1536600301480114E-2</v>
      </c>
    </row>
    <row r="139" spans="1:12">
      <c r="A139" s="49" t="s">
        <v>618</v>
      </c>
      <c r="B139" s="49" t="s">
        <v>22</v>
      </c>
      <c r="C139" s="57">
        <v>41</v>
      </c>
      <c r="D139" s="57">
        <v>2</v>
      </c>
      <c r="E139" s="102">
        <f t="shared" si="37"/>
        <v>39</v>
      </c>
      <c r="F139" s="100">
        <f t="shared" si="42"/>
        <v>41.313559322033903</v>
      </c>
      <c r="G139" s="57">
        <f ca="1">1*'UK Distances'!F13</f>
        <v>177.1</v>
      </c>
      <c r="H139" s="57">
        <f t="shared" si="45"/>
        <v>11774.976772881359</v>
      </c>
      <c r="I139" s="57">
        <f ca="1">1*'UK Distances'!I13</f>
        <v>281.10000000000002</v>
      </c>
      <c r="J139" s="57">
        <f t="shared" si="46"/>
        <v>18689.700569491531</v>
      </c>
      <c r="K139" s="45">
        <f t="shared" si="47"/>
        <v>0.13193407880737323</v>
      </c>
      <c r="L139" s="45">
        <f t="shared" si="48"/>
        <v>0.20941089527245974</v>
      </c>
    </row>
    <row r="140" spans="1:12" ht="28.5">
      <c r="A140" s="49" t="s">
        <v>851</v>
      </c>
      <c r="B140" s="49" t="s">
        <v>22</v>
      </c>
      <c r="C140" s="57">
        <v>92</v>
      </c>
      <c r="D140" s="57">
        <v>3</v>
      </c>
      <c r="E140" s="102">
        <f t="shared" si="37"/>
        <v>89</v>
      </c>
      <c r="F140" s="100">
        <f t="shared" si="42"/>
        <v>94.279661016949163</v>
      </c>
      <c r="G140" s="57">
        <f ca="1">1*'UK Distances'!F16</f>
        <v>398.3</v>
      </c>
      <c r="H140" s="57">
        <f t="shared" si="45"/>
        <v>60433.424420338997</v>
      </c>
      <c r="I140" s="57">
        <f ca="1">1*'UK Distances'!I16</f>
        <v>293.8</v>
      </c>
      <c r="J140" s="57">
        <f t="shared" si="46"/>
        <v>44577.805911864416</v>
      </c>
      <c r="K140" s="45">
        <f t="shared" si="47"/>
        <v>0.67713324058824242</v>
      </c>
      <c r="L140" s="45">
        <f t="shared" si="48"/>
        <v>0.49947714307011198</v>
      </c>
    </row>
    <row r="141" spans="1:12">
      <c r="A141" s="49" t="s">
        <v>357</v>
      </c>
      <c r="B141" s="49" t="s">
        <v>22</v>
      </c>
      <c r="C141" s="57">
        <v>59</v>
      </c>
      <c r="D141" s="57">
        <v>0</v>
      </c>
      <c r="E141" s="102">
        <f t="shared" si="37"/>
        <v>59</v>
      </c>
      <c r="F141" s="100">
        <f t="shared" si="42"/>
        <v>62.500000000000007</v>
      </c>
      <c r="G141" s="57">
        <f ca="1">1*'UK Distances'!F17</f>
        <v>176.42</v>
      </c>
      <c r="H141" s="57">
        <f t="shared" si="45"/>
        <v>17745.029280000002</v>
      </c>
      <c r="I141" s="57">
        <f ca="1">1*'UK Distances'!I17</f>
        <v>94.5</v>
      </c>
      <c r="J141" s="57">
        <f t="shared" si="46"/>
        <v>9505.1880000000019</v>
      </c>
      <c r="K141" s="45">
        <f t="shared" si="47"/>
        <v>0.19882621737807268</v>
      </c>
      <c r="L141" s="45">
        <f t="shared" si="48"/>
        <v>0.10650196997068286</v>
      </c>
    </row>
    <row r="142" spans="1:12">
      <c r="A142" s="49" t="s">
        <v>361</v>
      </c>
      <c r="B142" s="49" t="s">
        <v>22</v>
      </c>
      <c r="C142" s="57">
        <v>0</v>
      </c>
      <c r="D142" s="57">
        <v>0</v>
      </c>
      <c r="E142" s="102">
        <f t="shared" si="37"/>
        <v>0</v>
      </c>
      <c r="F142" s="100">
        <f t="shared" si="42"/>
        <v>0</v>
      </c>
      <c r="G142" s="57">
        <f ca="1">1*'UK Distances'!F20</f>
        <v>15.22</v>
      </c>
      <c r="H142" s="57">
        <f t="shared" si="45"/>
        <v>0</v>
      </c>
      <c r="I142" s="57">
        <f ca="1">1*'UK Distances'!I20</f>
        <v>154.69999999999999</v>
      </c>
      <c r="J142" s="57">
        <f t="shared" si="46"/>
        <v>0</v>
      </c>
      <c r="K142" s="45">
        <f t="shared" si="47"/>
        <v>0</v>
      </c>
      <c r="L142" s="45">
        <f t="shared" si="48"/>
        <v>0</v>
      </c>
    </row>
    <row r="143" spans="1:12" ht="28.5">
      <c r="A143" s="49" t="s">
        <v>468</v>
      </c>
      <c r="B143" s="49" t="s">
        <v>22</v>
      </c>
      <c r="C143" s="57">
        <v>0</v>
      </c>
      <c r="D143" s="57">
        <v>0</v>
      </c>
      <c r="E143" s="102">
        <f t="shared" si="37"/>
        <v>0</v>
      </c>
      <c r="F143" s="100">
        <f t="shared" si="42"/>
        <v>0</v>
      </c>
      <c r="G143" s="57">
        <f ca="1">1*'UK Distances'!F28</f>
        <v>348.7</v>
      </c>
      <c r="H143" s="57">
        <f t="shared" si="45"/>
        <v>0</v>
      </c>
      <c r="I143" s="57">
        <f ca="1">1*'UK Distances'!I28</f>
        <v>230.3</v>
      </c>
      <c r="J143" s="57">
        <f t="shared" si="46"/>
        <v>0</v>
      </c>
      <c r="K143" s="45">
        <f t="shared" si="47"/>
        <v>0</v>
      </c>
      <c r="L143" s="45">
        <f t="shared" si="48"/>
        <v>0</v>
      </c>
    </row>
    <row r="144" spans="1:12">
      <c r="A144" s="49" t="s">
        <v>622</v>
      </c>
      <c r="B144" s="49" t="s">
        <v>22</v>
      </c>
      <c r="C144" s="57">
        <v>6</v>
      </c>
      <c r="D144" s="57">
        <v>0</v>
      </c>
      <c r="E144" s="102">
        <f t="shared" si="37"/>
        <v>6</v>
      </c>
      <c r="F144" s="100">
        <f t="shared" si="42"/>
        <v>6.3559322033898304</v>
      </c>
      <c r="G144" s="57">
        <f ca="1">1*'UK Distances'!F44</f>
        <v>210.11972222222215</v>
      </c>
      <c r="H144" s="57">
        <f t="shared" si="45"/>
        <v>2149.2897091525419</v>
      </c>
      <c r="I144" s="57">
        <f ca="1">1*'UK Distances'!I44</f>
        <v>192.37777777777777</v>
      </c>
      <c r="J144" s="57">
        <f t="shared" si="46"/>
        <v>1967.8094644067799</v>
      </c>
      <c r="K144" s="45">
        <f t="shared" si="47"/>
        <v>2.4081963246014877E-2</v>
      </c>
      <c r="L144" s="45">
        <f t="shared" si="48"/>
        <v>2.2048547013091835E-2</v>
      </c>
    </row>
    <row r="145" spans="1:12" ht="28.5">
      <c r="A145" s="49" t="s">
        <v>624</v>
      </c>
      <c r="B145" s="49" t="s">
        <v>22</v>
      </c>
      <c r="C145" s="57">
        <v>139</v>
      </c>
      <c r="D145" s="101">
        <v>0</v>
      </c>
      <c r="E145" s="102">
        <f t="shared" si="37"/>
        <v>139</v>
      </c>
      <c r="F145" s="100">
        <f t="shared" si="42"/>
        <v>147.24576271186442</v>
      </c>
      <c r="G145" s="57">
        <f ca="1">1*'UK Distances'!F15</f>
        <v>191.12</v>
      </c>
      <c r="H145" s="57">
        <f t="shared" si="45"/>
        <v>45289.531476610173</v>
      </c>
      <c r="I145" s="57">
        <f ca="1">1*'UK Distances'!I15</f>
        <v>51.4</v>
      </c>
      <c r="J145" s="57">
        <f t="shared" si="46"/>
        <v>12180.210955932205</v>
      </c>
      <c r="K145" s="45">
        <f t="shared" si="47"/>
        <v>0.50745175385360408</v>
      </c>
      <c r="L145" s="45">
        <f t="shared" si="48"/>
        <v>0.13647457172496469</v>
      </c>
    </row>
    <row r="146" spans="1:12">
      <c r="A146" s="49" t="s">
        <v>127</v>
      </c>
      <c r="B146" s="49" t="s">
        <v>22</v>
      </c>
      <c r="C146" s="57">
        <v>9</v>
      </c>
      <c r="D146" s="57">
        <v>0</v>
      </c>
      <c r="E146" s="102">
        <f t="shared" si="37"/>
        <v>9</v>
      </c>
      <c r="F146" s="100">
        <f t="shared" si="42"/>
        <v>9.5338983050847457</v>
      </c>
      <c r="G146" s="57">
        <f ca="1">1*'UK Distances'!F29</f>
        <v>169.75</v>
      </c>
      <c r="H146" s="57">
        <f t="shared" si="45"/>
        <v>2604.5289152542373</v>
      </c>
      <c r="I146" s="57">
        <f ca="1">1*'UK Distances'!I29</f>
        <v>278.2</v>
      </c>
      <c r="J146" s="57">
        <f t="shared" si="46"/>
        <v>4268.5121898305088</v>
      </c>
      <c r="K146" s="45">
        <f t="shared" si="47"/>
        <v>2.9182743184057159E-2</v>
      </c>
      <c r="L146" s="45">
        <f t="shared" si="48"/>
        <v>4.7827034779409146E-2</v>
      </c>
    </row>
    <row r="147" spans="1:12" ht="17.25">
      <c r="A147" s="52" t="s">
        <v>539</v>
      </c>
      <c r="B147" s="52" t="s">
        <v>149</v>
      </c>
      <c r="C147" s="93">
        <f>AVERAGE(C137:C146)</f>
        <v>307</v>
      </c>
      <c r="D147" s="93">
        <f>AVERAGE(D137:D146)</f>
        <v>14.1</v>
      </c>
      <c r="E147" s="85">
        <f t="shared" si="37"/>
        <v>292.89999999999998</v>
      </c>
      <c r="F147" s="107">
        <f t="shared" si="42"/>
        <v>310.27542372881356</v>
      </c>
      <c r="G147" s="93">
        <f ca="1">AVERAGE(G137:G146)</f>
        <v>202.63397222222224</v>
      </c>
      <c r="H147" s="93">
        <f ca="1">AVERAGE(H137:H146)</f>
        <v>146852.57493294915</v>
      </c>
      <c r="I147" s="93">
        <f ca="1">AVERAGE(I137:I146)</f>
        <v>189.59777777777779</v>
      </c>
      <c r="J147" s="93">
        <f>AVERAGE(J137:J146)</f>
        <v>87361.750169491526</v>
      </c>
      <c r="K147" s="45"/>
      <c r="L147" s="45"/>
    </row>
    <row r="148" spans="1:12" ht="15">
      <c r="A148" s="52" t="s">
        <v>1174</v>
      </c>
      <c r="B148" s="52" t="s">
        <v>22</v>
      </c>
      <c r="C148" s="93">
        <f>SUM(C137:C146)</f>
        <v>3070</v>
      </c>
      <c r="D148" s="93">
        <f>SUM(D137:D146)</f>
        <v>141</v>
      </c>
      <c r="E148" s="85">
        <f t="shared" si="37"/>
        <v>2929</v>
      </c>
      <c r="F148" s="107">
        <f t="shared" si="42"/>
        <v>3102.7542372881358</v>
      </c>
      <c r="G148" s="93">
        <f ca="1">SUM(G137:G146)</f>
        <v>2026.3397222222225</v>
      </c>
      <c r="H148" s="93">
        <f ca="1">SUM(H137:H146)</f>
        <v>1468525.7493294915</v>
      </c>
      <c r="I148" s="93">
        <f ca="1">SUM(I137:I146)</f>
        <v>1895.9777777777779</v>
      </c>
      <c r="J148" s="93">
        <f>SUM(J137:J146)</f>
        <v>873617.50169491523</v>
      </c>
      <c r="K148" s="45"/>
      <c r="L148" s="45"/>
    </row>
    <row r="149" spans="1:12">
      <c r="A149" s="49" t="s">
        <v>354</v>
      </c>
      <c r="B149" s="49" t="s">
        <v>25</v>
      </c>
      <c r="C149" s="56">
        <v>647</v>
      </c>
      <c r="D149" s="56">
        <v>32</v>
      </c>
      <c r="E149" s="83">
        <f t="shared" si="37"/>
        <v>615</v>
      </c>
      <c r="F149" s="89">
        <f t="shared" si="42"/>
        <v>651.48305084745766</v>
      </c>
      <c r="G149" s="76">
        <f ca="1">1*'UK Distances'!F10</f>
        <v>149.4</v>
      </c>
      <c r="H149" s="57">
        <f ca="1">1*F149*G149*$B$183</f>
        <v>156639.97464406781</v>
      </c>
      <c r="I149" s="81">
        <f ca="1">1*'UK Distances'!I10</f>
        <v>79.400000000000006</v>
      </c>
      <c r="J149" s="57">
        <f>F149*I149*$B$183</f>
        <v>83247.750915254263</v>
      </c>
      <c r="K149" s="45">
        <f>(H149/$F$181)</f>
        <v>1.7550905753522215</v>
      </c>
      <c r="L149" s="45">
        <f>(J149/$F$181)</f>
        <v>0.93275898047500938</v>
      </c>
    </row>
    <row r="150" spans="1:12" ht="20.25" customHeight="1">
      <c r="A150" s="52" t="s">
        <v>1174</v>
      </c>
      <c r="B150" s="52" t="s">
        <v>504</v>
      </c>
      <c r="C150" s="104">
        <f>SUM(C149)</f>
        <v>647</v>
      </c>
      <c r="D150" s="93">
        <f t="shared" ref="D150:J150" si="49">SUM(D149)</f>
        <v>32</v>
      </c>
      <c r="E150" s="93">
        <f t="shared" si="49"/>
        <v>615</v>
      </c>
      <c r="F150" s="93">
        <f t="shared" si="49"/>
        <v>651.48305084745766</v>
      </c>
      <c r="G150" s="93">
        <f t="shared" si="49"/>
        <v>149.4</v>
      </c>
      <c r="H150" s="93">
        <f t="shared" si="49"/>
        <v>156639.97464406781</v>
      </c>
      <c r="I150" s="93">
        <f t="shared" si="49"/>
        <v>79.400000000000006</v>
      </c>
      <c r="J150" s="93">
        <f t="shared" si="49"/>
        <v>83247.750915254263</v>
      </c>
      <c r="K150" s="45"/>
      <c r="L150" s="45"/>
    </row>
    <row r="151" spans="1:12">
      <c r="A151" s="49" t="s">
        <v>621</v>
      </c>
      <c r="B151" s="49" t="s">
        <v>29</v>
      </c>
      <c r="C151" s="57">
        <v>13</v>
      </c>
      <c r="D151" s="57">
        <v>0</v>
      </c>
      <c r="E151" s="102">
        <f t="shared" si="37"/>
        <v>13</v>
      </c>
      <c r="F151" s="100">
        <f t="shared" si="42"/>
        <v>13.771186440677967</v>
      </c>
      <c r="G151" s="57">
        <f ca="1">1*'UK Distances'!F26</f>
        <v>5.44</v>
      </c>
      <c r="H151" s="57">
        <f ca="1">1*F151*G151*$B$183</f>
        <v>120.56441491525428</v>
      </c>
      <c r="I151" s="92">
        <f ca="1">1*'UK Distances'!I26</f>
        <v>162.1</v>
      </c>
      <c r="J151" s="57">
        <f>F151*I151*$B$183</f>
        <v>3592.5536135593225</v>
      </c>
      <c r="K151" s="45">
        <f>(H151/$F$181)</f>
        <v>1.3508778255450977E-3</v>
      </c>
      <c r="L151" s="45">
        <f>(J151/$F$181)</f>
        <v>4.0253179323687556E-2</v>
      </c>
    </row>
    <row r="152" spans="1:12" ht="15">
      <c r="A152" s="52" t="s">
        <v>1174</v>
      </c>
      <c r="B152" s="52" t="s">
        <v>327</v>
      </c>
      <c r="C152" s="93">
        <f>SUM(C151)</f>
        <v>13</v>
      </c>
      <c r="D152" s="93">
        <v>13</v>
      </c>
      <c r="E152" s="90">
        <f t="shared" si="37"/>
        <v>0</v>
      </c>
      <c r="F152" s="91">
        <f t="shared" ref="F152:F181" si="50">(5/4.72)*E152</f>
        <v>0</v>
      </c>
      <c r="G152" s="93">
        <f ca="1">SUM(G151)</f>
        <v>5.44</v>
      </c>
      <c r="H152" s="93">
        <f ca="1">SUM(H151)</f>
        <v>120.56441491525428</v>
      </c>
      <c r="I152" s="93">
        <f ca="1">SUM(I151)</f>
        <v>162.1</v>
      </c>
      <c r="J152" s="93">
        <f>SUM(J151)</f>
        <v>3592.5536135593225</v>
      </c>
      <c r="K152" s="45"/>
      <c r="L152" s="45"/>
    </row>
    <row r="153" spans="1:12">
      <c r="A153" s="49" t="s">
        <v>456</v>
      </c>
      <c r="B153" s="49" t="s">
        <v>24</v>
      </c>
      <c r="C153" s="56">
        <v>48</v>
      </c>
      <c r="D153" s="57">
        <v>2</v>
      </c>
      <c r="E153" s="83">
        <f t="shared" si="37"/>
        <v>46</v>
      </c>
      <c r="F153" s="89">
        <f t="shared" si="50"/>
        <v>48.728813559322035</v>
      </c>
      <c r="G153" s="76">
        <f ca="1">1*'UK Distances'!F7</f>
        <v>266.39999999999998</v>
      </c>
      <c r="H153" s="57">
        <f t="shared" ref="H153:H163" si="51">1*F153*G153*$B$183</f>
        <v>20891.467281355934</v>
      </c>
      <c r="I153" s="81">
        <f ca="1">1*'UK Distances'!I7</f>
        <v>162</v>
      </c>
      <c r="J153" s="57">
        <f t="shared" ref="J153:J163" si="52">F153*I153*$B$183</f>
        <v>12704.270644067798</v>
      </c>
      <c r="K153" s="45">
        <f t="shared" ref="K153:K163" si="53">(H153/$F$181)</f>
        <v>0.23408084311877603</v>
      </c>
      <c r="L153" s="45">
        <f t="shared" ref="L153:L163" si="54">(J153/$F$181)</f>
        <v>0.14234645865330975</v>
      </c>
    </row>
    <row r="154" spans="1:12">
      <c r="A154" s="49" t="s">
        <v>457</v>
      </c>
      <c r="B154" s="49" t="s">
        <v>24</v>
      </c>
      <c r="C154" s="56">
        <v>386</v>
      </c>
      <c r="D154" s="56">
        <v>19</v>
      </c>
      <c r="E154" s="83">
        <f t="shared" si="37"/>
        <v>367</v>
      </c>
      <c r="F154" s="89">
        <f t="shared" si="50"/>
        <v>388.77118644067798</v>
      </c>
      <c r="G154" s="76">
        <f ca="1">1*'UK Distances'!F8</f>
        <v>365.8</v>
      </c>
      <c r="H154" s="57">
        <f t="shared" si="51"/>
        <v>228868.83360000001</v>
      </c>
      <c r="I154" s="81">
        <f ca="1">1*'UK Distances'!I8</f>
        <v>215.7</v>
      </c>
      <c r="J154" s="57">
        <f t="shared" si="52"/>
        <v>134956.28050169491</v>
      </c>
      <c r="K154" s="45">
        <f t="shared" si="53"/>
        <v>2.5643871160983251</v>
      </c>
      <c r="L154" s="45">
        <f t="shared" si="54"/>
        <v>1.512133135435781</v>
      </c>
    </row>
    <row r="155" spans="1:12">
      <c r="A155" s="49" t="s">
        <v>353</v>
      </c>
      <c r="B155" s="49" t="s">
        <v>24</v>
      </c>
      <c r="C155" s="56">
        <v>87</v>
      </c>
      <c r="D155" s="56">
        <v>4</v>
      </c>
      <c r="E155" s="83">
        <f t="shared" si="37"/>
        <v>83</v>
      </c>
      <c r="F155" s="89">
        <f t="shared" si="50"/>
        <v>87.923728813559322</v>
      </c>
      <c r="G155" s="76">
        <f ca="1">1*'UK Distances'!F9</f>
        <v>2</v>
      </c>
      <c r="H155" s="57">
        <f t="shared" si="51"/>
        <v>282.99905084745762</v>
      </c>
      <c r="I155" s="81">
        <f ca="1">1*'UK Distances'!I9</f>
        <v>168.3</v>
      </c>
      <c r="J155" s="57">
        <f t="shared" si="52"/>
        <v>23814.37012881356</v>
      </c>
      <c r="K155" s="45">
        <f t="shared" si="53"/>
        <v>3.170895348423164E-3</v>
      </c>
      <c r="L155" s="45">
        <f t="shared" si="54"/>
        <v>0.26683084356980924</v>
      </c>
    </row>
    <row r="156" spans="1:12">
      <c r="A156" s="49" t="s">
        <v>355</v>
      </c>
      <c r="B156" s="49" t="s">
        <v>24</v>
      </c>
      <c r="C156" s="56">
        <v>272</v>
      </c>
      <c r="D156" s="56">
        <v>14</v>
      </c>
      <c r="E156" s="83">
        <f t="shared" si="37"/>
        <v>258</v>
      </c>
      <c r="F156" s="89">
        <f t="shared" si="50"/>
        <v>273.30508474576271</v>
      </c>
      <c r="G156" s="76">
        <f ca="1">1*'UK Distances'!F12</f>
        <v>66.400000000000006</v>
      </c>
      <c r="H156" s="57">
        <f t="shared" si="51"/>
        <v>29205.50204745763</v>
      </c>
      <c r="I156" s="81">
        <f ca="1">1*'UK Distances'!I12</f>
        <v>173</v>
      </c>
      <c r="J156" s="57">
        <f t="shared" si="52"/>
        <v>76092.648406779655</v>
      </c>
      <c r="K156" s="45">
        <f t="shared" si="53"/>
        <v>0.32723639995727055</v>
      </c>
      <c r="L156" s="45">
        <f t="shared" si="54"/>
        <v>0.85258881314168367</v>
      </c>
    </row>
    <row r="157" spans="1:12">
      <c r="A157" s="49" t="s">
        <v>359</v>
      </c>
      <c r="B157" s="49" t="s">
        <v>24</v>
      </c>
      <c r="C157" s="56">
        <v>0</v>
      </c>
      <c r="D157" s="56">
        <v>0</v>
      </c>
      <c r="E157" s="83">
        <f t="shared" si="37"/>
        <v>0</v>
      </c>
      <c r="F157" s="89">
        <f t="shared" si="50"/>
        <v>0</v>
      </c>
      <c r="G157" s="76">
        <f ca="1">1*'UK Distances'!F19</f>
        <v>402.7</v>
      </c>
      <c r="H157" s="57">
        <f t="shared" si="51"/>
        <v>0</v>
      </c>
      <c r="I157" s="81">
        <f ca="1">1*'UK Distances'!I19</f>
        <v>251.8</v>
      </c>
      <c r="J157" s="57">
        <f t="shared" si="52"/>
        <v>0</v>
      </c>
      <c r="K157" s="45">
        <f t="shared" si="53"/>
        <v>0</v>
      </c>
      <c r="L157" s="45">
        <f t="shared" si="54"/>
        <v>0</v>
      </c>
    </row>
    <row r="158" spans="1:12">
      <c r="A158" s="49" t="s">
        <v>466</v>
      </c>
      <c r="B158" s="49" t="s">
        <v>24</v>
      </c>
      <c r="C158" s="56">
        <v>2289</v>
      </c>
      <c r="D158" s="56">
        <v>114</v>
      </c>
      <c r="E158" s="83">
        <f t="shared" si="37"/>
        <v>2175</v>
      </c>
      <c r="F158" s="89">
        <f t="shared" si="50"/>
        <v>2304.0254237288136</v>
      </c>
      <c r="G158" s="76">
        <f ca="1">1*'UK Distances'!F24</f>
        <v>315</v>
      </c>
      <c r="H158" s="57">
        <f t="shared" si="51"/>
        <v>1168010.3898305085</v>
      </c>
      <c r="I158" s="81">
        <f ca="1">1*'UK Distances'!I24</f>
        <v>219.7</v>
      </c>
      <c r="J158" s="57">
        <f t="shared" si="52"/>
        <v>814640.8972881356</v>
      </c>
      <c r="K158" s="45">
        <f t="shared" si="53"/>
        <v>13.087106479448314</v>
      </c>
      <c r="L158" s="45">
        <f t="shared" si="54"/>
        <v>9.1277374397929982</v>
      </c>
    </row>
    <row r="159" spans="1:12">
      <c r="A159" s="49" t="s">
        <v>619</v>
      </c>
      <c r="B159" s="49" t="s">
        <v>24</v>
      </c>
      <c r="C159" s="56">
        <v>1633</v>
      </c>
      <c r="D159" s="56">
        <v>82</v>
      </c>
      <c r="E159" s="83">
        <f t="shared" si="37"/>
        <v>1551</v>
      </c>
      <c r="F159" s="89">
        <f t="shared" si="50"/>
        <v>1643.0084745762713</v>
      </c>
      <c r="G159" s="76">
        <f ca="1">1*'UK Distances'!F25</f>
        <v>177.76</v>
      </c>
      <c r="H159" s="57">
        <f t="shared" si="51"/>
        <v>470026.91803118645</v>
      </c>
      <c r="I159" s="81">
        <f ca="1">1*'UK Distances'!I25</f>
        <v>278</v>
      </c>
      <c r="J159" s="57">
        <f t="shared" si="52"/>
        <v>735078.10088135605</v>
      </c>
      <c r="K159" s="45">
        <f t="shared" si="53"/>
        <v>5.2664705537197181</v>
      </c>
      <c r="L159" s="45">
        <f t="shared" si="54"/>
        <v>8.2362669550747185</v>
      </c>
    </row>
    <row r="160" spans="1:12">
      <c r="A160" s="49" t="s">
        <v>623</v>
      </c>
      <c r="B160" s="49" t="s">
        <v>24</v>
      </c>
      <c r="C160" s="56">
        <v>86</v>
      </c>
      <c r="D160" s="56">
        <v>4</v>
      </c>
      <c r="E160" s="83">
        <f t="shared" si="37"/>
        <v>82</v>
      </c>
      <c r="F160" s="89">
        <f t="shared" si="50"/>
        <v>86.864406779661024</v>
      </c>
      <c r="G160" s="76">
        <f ca="1">1*'UK Distances'!F27</f>
        <v>264.76</v>
      </c>
      <c r="H160" s="57">
        <f t="shared" si="51"/>
        <v>37012.047913220347</v>
      </c>
      <c r="I160" s="81">
        <f ca="1">1*'UK Distances'!I27</f>
        <v>168.5</v>
      </c>
      <c r="J160" s="57">
        <f t="shared" si="52"/>
        <v>23555.408949152545</v>
      </c>
      <c r="K160" s="45">
        <f t="shared" si="53"/>
        <v>0.41470573916131565</v>
      </c>
      <c r="L160" s="45">
        <f t="shared" si="54"/>
        <v>0.26392928330820997</v>
      </c>
    </row>
    <row r="161" spans="1:12">
      <c r="A161" s="49" t="s">
        <v>262</v>
      </c>
      <c r="B161" s="49" t="s">
        <v>24</v>
      </c>
      <c r="C161" s="56">
        <v>473</v>
      </c>
      <c r="D161" s="56">
        <v>24</v>
      </c>
      <c r="E161" s="83">
        <f t="shared" si="37"/>
        <v>449</v>
      </c>
      <c r="F161" s="89">
        <f t="shared" si="50"/>
        <v>475.63559322033899</v>
      </c>
      <c r="G161" s="76">
        <f ca="1">1*'UK Distances'!F32</f>
        <v>373.27</v>
      </c>
      <c r="H161" s="57">
        <f t="shared" si="51"/>
        <v>285723.73502237292</v>
      </c>
      <c r="I161" s="81">
        <f ca="1">1*'UK Distances'!I32</f>
        <v>207.7</v>
      </c>
      <c r="J161" s="57">
        <f t="shared" si="52"/>
        <v>158986.30954576272</v>
      </c>
      <c r="K161" s="45">
        <f t="shared" si="53"/>
        <v>3.2014243850057569</v>
      </c>
      <c r="L161" s="45">
        <f t="shared" si="54"/>
        <v>1.7813803540753226</v>
      </c>
    </row>
    <row r="162" spans="1:12">
      <c r="A162" s="49" t="s">
        <v>568</v>
      </c>
      <c r="B162" s="49" t="s">
        <v>24</v>
      </c>
      <c r="C162" s="56">
        <v>1</v>
      </c>
      <c r="D162" s="56">
        <v>0</v>
      </c>
      <c r="E162" s="83">
        <f t="shared" si="37"/>
        <v>1</v>
      </c>
      <c r="F162" s="89">
        <f t="shared" si="50"/>
        <v>1.0593220338983051</v>
      </c>
      <c r="G162" s="76">
        <f ca="1">1*'UK Distances'!F35</f>
        <v>200.59</v>
      </c>
      <c r="H162" s="57">
        <f t="shared" si="51"/>
        <v>341.96855186440683</v>
      </c>
      <c r="I162" s="81">
        <f ca="1">1*'UK Distances'!I35</f>
        <v>152.4</v>
      </c>
      <c r="J162" s="57">
        <f t="shared" si="52"/>
        <v>259.81358644067802</v>
      </c>
      <c r="K162" s="45">
        <f t="shared" si="53"/>
        <v>3.8316258912060395E-3</v>
      </c>
      <c r="L162" s="45">
        <f t="shared" si="54"/>
        <v>2.9111111512029535E-3</v>
      </c>
    </row>
    <row r="163" spans="1:12">
      <c r="A163" s="49" t="s">
        <v>573</v>
      </c>
      <c r="B163" s="49" t="s">
        <v>24</v>
      </c>
      <c r="C163" s="56">
        <v>11</v>
      </c>
      <c r="D163" s="56">
        <v>0</v>
      </c>
      <c r="E163" s="83">
        <f t="shared" si="37"/>
        <v>11</v>
      </c>
      <c r="F163" s="89">
        <f t="shared" si="50"/>
        <v>11.652542372881356</v>
      </c>
      <c r="G163" s="76">
        <f ca="1">1*'UK Distances'!F39</f>
        <v>225.69</v>
      </c>
      <c r="H163" s="57">
        <f t="shared" si="51"/>
        <v>4232.3530942372881</v>
      </c>
      <c r="I163" s="81">
        <f ca="1">1*'UK Distances'!I39</f>
        <v>167.2</v>
      </c>
      <c r="J163" s="57">
        <f t="shared" si="52"/>
        <v>3135.4930983050849</v>
      </c>
      <c r="K163" s="45">
        <f t="shared" si="53"/>
        <v>4.7421886042420855E-2</v>
      </c>
      <c r="L163" s="45">
        <f t="shared" si="54"/>
        <v>3.5131992318192071E-2</v>
      </c>
    </row>
    <row r="164" spans="1:12" ht="15">
      <c r="A164" s="52" t="s">
        <v>539</v>
      </c>
      <c r="B164" s="52" t="s">
        <v>24</v>
      </c>
      <c r="C164" s="93">
        <f>AVERAGE(C153:C163)</f>
        <v>480.54545454545456</v>
      </c>
      <c r="D164" s="93">
        <f>AVERAGE(D153:D163)</f>
        <v>23.90909090909091</v>
      </c>
      <c r="E164" s="90">
        <f t="shared" si="37"/>
        <v>456.63636363636363</v>
      </c>
      <c r="F164" s="91">
        <f t="shared" si="50"/>
        <v>483.72496147919878</v>
      </c>
      <c r="G164" s="93">
        <f ca="1">AVERAGE(G153:G163)</f>
        <v>241.8518181818182</v>
      </c>
      <c r="H164" s="93">
        <f ca="1">AVERAGE(H153:H163)</f>
        <v>204054.20131118645</v>
      </c>
      <c r="I164" s="93">
        <f ca="1">AVERAGE(I153:I163)</f>
        <v>196.75454545454548</v>
      </c>
      <c r="J164" s="93">
        <f>AVERAGE(J153:J163)</f>
        <v>180293.05391186441</v>
      </c>
      <c r="K164" s="45"/>
      <c r="L164" s="45"/>
    </row>
    <row r="165" spans="1:12" ht="15">
      <c r="A165" s="52" t="s">
        <v>1174</v>
      </c>
      <c r="B165" s="52" t="s">
        <v>24</v>
      </c>
      <c r="C165" s="93">
        <f>SUM(C153:C163)</f>
        <v>5286</v>
      </c>
      <c r="D165" s="93">
        <f>SUM(D153:D163)</f>
        <v>263</v>
      </c>
      <c r="E165" s="90">
        <f t="shared" si="37"/>
        <v>5023</v>
      </c>
      <c r="F165" s="91">
        <f t="shared" si="50"/>
        <v>5320.9745762711864</v>
      </c>
      <c r="G165" s="93">
        <f ca="1">SUM(G153:G163)</f>
        <v>2660.3700000000003</v>
      </c>
      <c r="H165" s="93">
        <f ca="1">SUM(H153:H163)</f>
        <v>2244596.2144230511</v>
      </c>
      <c r="I165" s="93">
        <f ca="1">SUM(I153:I163)</f>
        <v>2164.3000000000002</v>
      </c>
      <c r="J165" s="93">
        <f>SUM(J153:J163)</f>
        <v>1983223.5930305084</v>
      </c>
      <c r="K165" s="45"/>
      <c r="L165" s="45"/>
    </row>
    <row r="166" spans="1:12">
      <c r="A166" s="95" t="s">
        <v>151</v>
      </c>
      <c r="B166" s="95" t="s">
        <v>1173</v>
      </c>
      <c r="C166" s="58">
        <v>6470</v>
      </c>
      <c r="D166" s="58">
        <v>311</v>
      </c>
      <c r="E166" s="96">
        <f t="shared" si="37"/>
        <v>6159</v>
      </c>
      <c r="F166" s="97">
        <f t="shared" si="50"/>
        <v>6524.3644067796613</v>
      </c>
      <c r="G166" s="80">
        <f ca="1">1*'UK Distances'!F18</f>
        <v>418.8</v>
      </c>
      <c r="H166" s="94">
        <f ca="1">1*F166*G166*$B$183</f>
        <v>4397377.6829288136</v>
      </c>
      <c r="I166" s="98">
        <f ca="1">1*'UK Distances'!I18</f>
        <v>524.20000000000005</v>
      </c>
      <c r="J166" s="94">
        <f>F166*I166*$B$183</f>
        <v>5504072.0663593234</v>
      </c>
      <c r="K166" s="45">
        <f>(H166/$F$181)</f>
        <v>49.270922988270762</v>
      </c>
      <c r="L166" s="45">
        <f>(J166/$F$181)</f>
        <v>61.671007236035194</v>
      </c>
    </row>
    <row r="167" spans="1:12">
      <c r="A167" s="49" t="s">
        <v>365</v>
      </c>
      <c r="B167" s="49" t="s">
        <v>1173</v>
      </c>
      <c r="C167" s="56">
        <v>0</v>
      </c>
      <c r="D167" s="56">
        <v>0</v>
      </c>
      <c r="E167" s="83">
        <f t="shared" si="37"/>
        <v>0</v>
      </c>
      <c r="F167" s="89">
        <f t="shared" si="50"/>
        <v>0</v>
      </c>
      <c r="G167" s="76">
        <f ca="1">1*'UK Distances'!F22</f>
        <v>279.38</v>
      </c>
      <c r="H167" s="57">
        <f ca="1">1*F167*G167*$B$183</f>
        <v>0</v>
      </c>
      <c r="I167" s="81">
        <f ca="1">1*'UK Distances'!I22</f>
        <v>154.19999999999999</v>
      </c>
      <c r="J167" s="57">
        <f>F167*I167*$B$183</f>
        <v>0</v>
      </c>
      <c r="K167" s="45">
        <f>(H167/$F$181)</f>
        <v>0</v>
      </c>
      <c r="L167" s="45">
        <f>(J167/$F$181)</f>
        <v>0</v>
      </c>
    </row>
    <row r="168" spans="1:12">
      <c r="A168" s="49" t="s">
        <v>572</v>
      </c>
      <c r="B168" s="49" t="s">
        <v>1173</v>
      </c>
      <c r="C168" s="56">
        <v>0</v>
      </c>
      <c r="D168" s="56">
        <v>0</v>
      </c>
      <c r="E168" s="83">
        <f t="shared" si="37"/>
        <v>0</v>
      </c>
      <c r="F168" s="89">
        <f t="shared" si="50"/>
        <v>0</v>
      </c>
      <c r="G168" s="76">
        <f ca="1">1*'UK Distances'!F38</f>
        <v>355.36</v>
      </c>
      <c r="H168" s="57">
        <f ca="1">1*F168*G168*$B$183</f>
        <v>0</v>
      </c>
      <c r="I168" s="81">
        <f ca="1">1*'UK Distances'!I38</f>
        <v>270.7</v>
      </c>
      <c r="J168" s="57">
        <f>F168*I168*$B$183</f>
        <v>0</v>
      </c>
      <c r="K168" s="45">
        <f>(H168/$F$181)</f>
        <v>0</v>
      </c>
      <c r="L168" s="45">
        <f>(J168/$F$181)</f>
        <v>0</v>
      </c>
    </row>
    <row r="169" spans="1:12" ht="15">
      <c r="A169" s="52" t="s">
        <v>539</v>
      </c>
      <c r="B169" s="52" t="s">
        <v>1173</v>
      </c>
      <c r="C169" s="93">
        <f>AVERAGE(C166:C168)</f>
        <v>2156.6666666666665</v>
      </c>
      <c r="D169" s="93">
        <f>AVERAGE(D166:D168)</f>
        <v>103.66666666666667</v>
      </c>
      <c r="E169" s="90">
        <f t="shared" si="37"/>
        <v>2053</v>
      </c>
      <c r="F169" s="91">
        <f t="shared" si="50"/>
        <v>2174.7881355932204</v>
      </c>
      <c r="G169" s="93">
        <f ca="1">AVERAGE(G166:G168)</f>
        <v>351.18</v>
      </c>
      <c r="H169" s="93">
        <f ca="1">AVERAGE(H166:H168)</f>
        <v>1465792.5609762713</v>
      </c>
      <c r="I169" s="93">
        <f ca="1">AVERAGE(I166:I168)</f>
        <v>316.36666666666673</v>
      </c>
      <c r="J169" s="93">
        <f>AVERAGE(J166:J168)</f>
        <v>1834690.6887864412</v>
      </c>
      <c r="K169" s="45"/>
      <c r="L169" s="45"/>
    </row>
    <row r="170" spans="1:12" ht="15">
      <c r="A170" s="52" t="s">
        <v>1174</v>
      </c>
      <c r="B170" s="52" t="s">
        <v>1173</v>
      </c>
      <c r="C170" s="93">
        <f>SUM(C166:C168)</f>
        <v>6470</v>
      </c>
      <c r="D170" s="93">
        <f>SUM(D166:D168)</f>
        <v>311</v>
      </c>
      <c r="E170" s="90">
        <f t="shared" si="37"/>
        <v>6159</v>
      </c>
      <c r="F170" s="91">
        <f t="shared" si="50"/>
        <v>6524.3644067796613</v>
      </c>
      <c r="G170" s="93">
        <f ca="1">SUM(G166:G168)</f>
        <v>1053.54</v>
      </c>
      <c r="H170" s="93">
        <f ca="1">SUM(H166:H168)</f>
        <v>4397377.6829288136</v>
      </c>
      <c r="I170" s="93">
        <f ca="1">SUM(I166:I168)</f>
        <v>949.10000000000014</v>
      </c>
      <c r="J170" s="93">
        <f>SUM(J166:J168)</f>
        <v>5504072.0663593234</v>
      </c>
      <c r="K170" s="45"/>
      <c r="L170" s="45"/>
    </row>
    <row r="171" spans="1:12">
      <c r="A171" s="49" t="s">
        <v>362</v>
      </c>
      <c r="B171" s="49" t="s">
        <v>27</v>
      </c>
      <c r="C171" s="56">
        <v>800</v>
      </c>
      <c r="D171" s="56">
        <v>40</v>
      </c>
      <c r="E171" s="83">
        <f t="shared" si="37"/>
        <v>760</v>
      </c>
      <c r="F171" s="89">
        <f t="shared" si="50"/>
        <v>805.08474576271192</v>
      </c>
      <c r="G171" s="76">
        <f ca="1">1*'UK Distances'!F30</f>
        <v>2</v>
      </c>
      <c r="H171" s="57">
        <f ca="1">1*F171*G171*$B$183</f>
        <v>2591.3166101694919</v>
      </c>
      <c r="I171" s="81">
        <f ca="1">1*'UK Distances'!I30</f>
        <v>168.3</v>
      </c>
      <c r="J171" s="57">
        <f>F171*I171*$B$183</f>
        <v>218059.29274576277</v>
      </c>
      <c r="K171" s="45">
        <f>(H171/$F$181)</f>
        <v>2.9034704395200058E-2</v>
      </c>
      <c r="L171" s="45">
        <f>(J171/$F$181)</f>
        <v>2.4432703748560853</v>
      </c>
    </row>
    <row r="172" spans="1:12">
      <c r="A172" s="95" t="s">
        <v>148</v>
      </c>
      <c r="B172" s="95" t="s">
        <v>30</v>
      </c>
      <c r="C172" s="94">
        <v>29618</v>
      </c>
      <c r="D172" s="94">
        <v>1469</v>
      </c>
      <c r="E172" s="96">
        <f t="shared" si="37"/>
        <v>28149</v>
      </c>
      <c r="F172" s="97">
        <f t="shared" si="50"/>
        <v>29818.855932203391</v>
      </c>
      <c r="G172" s="80">
        <f ca="1">1*'UK Distances'!F30</f>
        <v>2</v>
      </c>
      <c r="H172" s="94">
        <f ca="1">1*F172*G172*$B$183</f>
        <v>95977.593762711869</v>
      </c>
      <c r="I172" s="98">
        <f ca="1">1*'UK Distances'!I30</f>
        <v>168.3</v>
      </c>
      <c r="J172" s="94">
        <f>F172*I172*$B$183</f>
        <v>8076514.5151322046</v>
      </c>
      <c r="K172" s="45">
        <f>(H172/$F$181)</f>
        <v>1.0753919658164295</v>
      </c>
      <c r="L172" s="45">
        <f>(J172/$F$181)</f>
        <v>90.494233923452555</v>
      </c>
    </row>
    <row r="173" spans="1:12">
      <c r="A173" s="49" t="s">
        <v>571</v>
      </c>
      <c r="B173" s="49" t="s">
        <v>30</v>
      </c>
      <c r="C173" s="101">
        <v>785</v>
      </c>
      <c r="D173" s="101">
        <v>0</v>
      </c>
      <c r="E173" s="102">
        <f t="shared" si="37"/>
        <v>785</v>
      </c>
      <c r="F173" s="124">
        <f t="shared" si="50"/>
        <v>831.56779661016958</v>
      </c>
      <c r="G173" s="101">
        <f ca="1">1*'UK Distances'!F37</f>
        <v>2</v>
      </c>
      <c r="H173" s="101">
        <f ca="1">1*F173*G173*$B$183</f>
        <v>2676.5572881355938</v>
      </c>
      <c r="I173" s="125">
        <f ca="1">1*'UK Distances'!I37</f>
        <v>168.3</v>
      </c>
      <c r="J173" s="101">
        <f>F173*I173*$B$183</f>
        <v>225232.29579661024</v>
      </c>
      <c r="K173" s="45">
        <f>(H173/$F$181)</f>
        <v>2.9989793355568485E-2</v>
      </c>
      <c r="L173" s="45">
        <f>(J173/$F$181)</f>
        <v>2.5236411108710883</v>
      </c>
    </row>
    <row r="174" spans="1:12" ht="30">
      <c r="A174" s="52" t="s">
        <v>1174</v>
      </c>
      <c r="B174" s="52" t="s">
        <v>502</v>
      </c>
      <c r="C174" s="93">
        <f>SUM(C171:C173)</f>
        <v>31203</v>
      </c>
      <c r="D174" s="93">
        <f>SUM(D171:D173)</f>
        <v>1509</v>
      </c>
      <c r="E174" s="90">
        <f t="shared" si="37"/>
        <v>29694</v>
      </c>
      <c r="F174" s="91">
        <f t="shared" si="50"/>
        <v>31455.508474576272</v>
      </c>
      <c r="G174" s="93">
        <f ca="1">SUM(G171:G173)</f>
        <v>6</v>
      </c>
      <c r="H174" s="93">
        <f ca="1">SUM(H171:H173)</f>
        <v>101245.46766101696</v>
      </c>
      <c r="I174" s="93">
        <f ca="1">SUM(I171:I173)</f>
        <v>504.90000000000003</v>
      </c>
      <c r="J174" s="93">
        <f>SUM(J171:J173)</f>
        <v>8519806.1036745775</v>
      </c>
      <c r="K174" s="45"/>
      <c r="L174" s="45"/>
    </row>
    <row r="175" spans="1:12">
      <c r="A175" s="49" t="s">
        <v>450</v>
      </c>
      <c r="B175" s="49" t="s">
        <v>42</v>
      </c>
      <c r="C175" s="57">
        <v>9942</v>
      </c>
      <c r="D175" s="56">
        <v>497</v>
      </c>
      <c r="E175" s="83">
        <f t="shared" si="37"/>
        <v>9445</v>
      </c>
      <c r="F175" s="89">
        <f t="shared" si="50"/>
        <v>10005.296610169493</v>
      </c>
      <c r="G175" s="76">
        <f ca="1">1*'UK Distances'!F33</f>
        <v>89.5</v>
      </c>
      <c r="H175" s="57">
        <f ca="1">1*F175*G175*$B$183</f>
        <v>1441125.7840677968</v>
      </c>
      <c r="I175" s="81">
        <f ca="1">1*'UK Distances'!I33</f>
        <v>82.2</v>
      </c>
      <c r="J175" s="57">
        <f>F175*I175*$B$183</f>
        <v>1323581.4463728818</v>
      </c>
      <c r="K175" s="45">
        <f>(H175/$F$181)</f>
        <v>16.147259262916762</v>
      </c>
      <c r="L175" s="45">
        <f>(J175/$F$181)</f>
        <v>14.830220239237519</v>
      </c>
    </row>
    <row r="176" spans="1:12" ht="30">
      <c r="A176" s="52" t="s">
        <v>1174</v>
      </c>
      <c r="B176" s="59" t="s">
        <v>503</v>
      </c>
      <c r="C176" s="93">
        <f>SUM(C175)</f>
        <v>9942</v>
      </c>
      <c r="D176" s="93">
        <f>SUM(D175)</f>
        <v>497</v>
      </c>
      <c r="E176" s="85">
        <f t="shared" si="37"/>
        <v>9445</v>
      </c>
      <c r="F176" s="107">
        <f t="shared" si="50"/>
        <v>10005.296610169493</v>
      </c>
      <c r="G176" s="93">
        <f ca="1">SUM(G175)</f>
        <v>89.5</v>
      </c>
      <c r="H176" s="93">
        <f ca="1">SUM(H175)</f>
        <v>1441125.7840677968</v>
      </c>
      <c r="I176" s="93">
        <f ca="1">SUM(I175)</f>
        <v>82.2</v>
      </c>
      <c r="J176" s="93">
        <f>SUM(J175)</f>
        <v>1323581.4463728818</v>
      </c>
      <c r="K176" s="45"/>
      <c r="L176" s="45"/>
    </row>
    <row r="177" spans="1:12">
      <c r="A177" s="49" t="s">
        <v>356</v>
      </c>
      <c r="B177" s="49" t="s">
        <v>23</v>
      </c>
      <c r="C177" s="76">
        <v>0</v>
      </c>
      <c r="D177" s="76">
        <v>0</v>
      </c>
      <c r="E177" s="105">
        <f t="shared" si="37"/>
        <v>0</v>
      </c>
      <c r="F177" s="89">
        <f t="shared" si="50"/>
        <v>0</v>
      </c>
      <c r="G177" s="76">
        <f ca="1">1*'UK Distances'!F14</f>
        <v>285.2</v>
      </c>
      <c r="H177" s="76">
        <f ca="1">1*F177*G177*$B$183</f>
        <v>0</v>
      </c>
      <c r="I177" s="81">
        <f ca="1">1*'UK Distances'!I14</f>
        <v>149.30000000000001</v>
      </c>
      <c r="J177" s="76">
        <f>F177*I177*$B$183</f>
        <v>0</v>
      </c>
      <c r="K177" s="45">
        <f>(H177/$F$181)</f>
        <v>0</v>
      </c>
      <c r="L177" s="45">
        <f>(J177/$F$181)</f>
        <v>0</v>
      </c>
    </row>
    <row r="178" spans="1:12" ht="15">
      <c r="A178" s="52" t="s">
        <v>1174</v>
      </c>
      <c r="B178" s="52" t="s">
        <v>300</v>
      </c>
      <c r="C178" s="106">
        <f>SUM(C177)</f>
        <v>0</v>
      </c>
      <c r="D178" s="106">
        <f>SUM(D177)</f>
        <v>0</v>
      </c>
      <c r="E178" s="99">
        <f t="shared" si="37"/>
        <v>0</v>
      </c>
      <c r="F178" s="107">
        <f t="shared" si="50"/>
        <v>0</v>
      </c>
      <c r="G178" s="106">
        <f ca="1">SUM(G177)</f>
        <v>285.2</v>
      </c>
      <c r="H178" s="106">
        <f ca="1">SUM(H177)</f>
        <v>0</v>
      </c>
      <c r="I178" s="106">
        <f ca="1">SUM(I177)</f>
        <v>149.30000000000001</v>
      </c>
      <c r="J178" s="106">
        <f>SUM(J177)</f>
        <v>0</v>
      </c>
      <c r="K178" s="45"/>
      <c r="L178" s="45"/>
    </row>
    <row r="179" spans="1:12" ht="28.5">
      <c r="A179" s="49" t="s">
        <v>569</v>
      </c>
      <c r="B179" s="49" t="s">
        <v>43</v>
      </c>
      <c r="C179" s="57">
        <v>455</v>
      </c>
      <c r="D179" s="57">
        <v>23</v>
      </c>
      <c r="E179" s="102">
        <f t="shared" si="37"/>
        <v>432</v>
      </c>
      <c r="F179" s="100">
        <f t="shared" si="50"/>
        <v>457.62711864406782</v>
      </c>
      <c r="G179" s="57">
        <f ca="1">1*'UK Distances'!F10</f>
        <v>149.4</v>
      </c>
      <c r="H179" s="57">
        <f ca="1">1*F179*G179*$B$183</f>
        <v>110030.03096949155</v>
      </c>
      <c r="I179" s="57">
        <f ca="1">1*'UK Distances'!I10</f>
        <v>79.400000000000006</v>
      </c>
      <c r="J179" s="57">
        <f>F179*I179*$B$183</f>
        <v>58476.468935593235</v>
      </c>
      <c r="K179" s="45">
        <f>(H179/$F$181)</f>
        <v>1.2328441114669264</v>
      </c>
      <c r="L179" s="45">
        <f>(J179/$F$181)</f>
        <v>0.65520630823610415</v>
      </c>
    </row>
    <row r="180" spans="1:12" ht="15">
      <c r="A180" s="52" t="s">
        <v>1174</v>
      </c>
      <c r="B180" s="52" t="s">
        <v>323</v>
      </c>
      <c r="C180" s="93">
        <f>SUM(C179)</f>
        <v>455</v>
      </c>
      <c r="D180" s="93">
        <f>SUM(D179)</f>
        <v>23</v>
      </c>
      <c r="E180" s="90">
        <f t="shared" si="37"/>
        <v>432</v>
      </c>
      <c r="F180" s="91">
        <f t="shared" si="50"/>
        <v>457.62711864406782</v>
      </c>
      <c r="G180" s="93">
        <f ca="1">SUM(G179)</f>
        <v>149.4</v>
      </c>
      <c r="H180" s="93">
        <f ca="1">SUM(H179)</f>
        <v>110030.03096949155</v>
      </c>
      <c r="I180" s="93">
        <f ca="1">SUM(I179)</f>
        <v>79.400000000000006</v>
      </c>
      <c r="J180" s="93">
        <f>SUM(J179)</f>
        <v>58476.468935593235</v>
      </c>
      <c r="K180" s="45"/>
      <c r="L180" s="45"/>
    </row>
    <row r="181" spans="1:12" ht="15">
      <c r="A181" s="175" t="s">
        <v>646</v>
      </c>
      <c r="B181" s="175"/>
      <c r="C181" s="177">
        <f>SUM(C171:C173)+SUM(C166:C168)+SUM(C153:C163)+SUM(C137:C146)+SUM(C135)+SUM(C131:C132)+SUM(C120:C126)+C129+C149+C151+C175+C177+C179</f>
        <v>87276</v>
      </c>
      <c r="D181" s="177">
        <f>SUM(D171:D173)+SUM(D166:D168)+SUM(D153:D163)+SUM(D137:D146)+SUM(D135)+SUM(D131:D132)+SUM(D120:D126)+D129+D149+D151+D175+D177+D179</f>
        <v>3025</v>
      </c>
      <c r="E181" s="178">
        <f>(C181-D181)</f>
        <v>84251</v>
      </c>
      <c r="F181" s="179">
        <f t="shared" si="50"/>
        <v>89248.940677966108</v>
      </c>
      <c r="G181" s="180"/>
      <c r="H181" s="177">
        <f ca="1">SUM(H171:H173)+SUM(H166:H168)+SUM(H153:H163)+SUM(H137:H146)+SUM(H135)+SUM(H131:H132)+SUM(H120:H126)+H129+H149+H151+H175+H177+H179</f>
        <v>19843145.04647797</v>
      </c>
      <c r="I181" s="180"/>
      <c r="J181" s="177">
        <f>SUM(J171:J173)+SUM(J166:J168)+SUM(J153:J163)+SUM(J137:J146)+SUM(J135)+SUM(J131:J132)+SUM(J120:J126)+J129+J149+J151+J175+J177+J179</f>
        <v>27276510.221735597</v>
      </c>
      <c r="K181" s="181">
        <f>SUM(K171:K173)+SUM(K166:K168)+SUM(K153:K163)+SUM(K137:K146)+SUM(K135)+SUM(K131:K132)+SUM(K120:K126)+K129+K149+K151+K175+K177+K179</f>
        <v>222.33479630954179</v>
      </c>
      <c r="L181" s="181">
        <f>SUM(L171:L173)+SUM(L166:L168)+SUM(L153:L163)+SUM(L137:L146)+SUM(L135)+SUM(L131:L132)+SUM(L120:L126)+L129+L149+L151+L175+L177+L179</f>
        <v>305.62278963238901</v>
      </c>
    </row>
    <row r="182" spans="1:12" ht="47.25">
      <c r="A182" s="84" t="s">
        <v>376</v>
      </c>
      <c r="B182" s="44"/>
      <c r="C182" s="56"/>
      <c r="D182" s="76"/>
      <c r="E182" s="76"/>
      <c r="F182" s="76"/>
      <c r="G182" s="113">
        <f ca="1">1*'UK Distances'!F44*B183</f>
        <v>338.15491423999993</v>
      </c>
      <c r="H182" s="114">
        <f ca="1">(F181*G182)</f>
        <v>30179967.88096847</v>
      </c>
      <c r="I182" s="114">
        <f ca="1">1*'UK Distances'!I44*B183</f>
        <v>309.60202240000001</v>
      </c>
      <c r="J182" s="114">
        <f>(F181*I182)</f>
        <v>27631652.530955937</v>
      </c>
    </row>
    <row r="183" spans="1:12" ht="15">
      <c r="A183" s="119" t="s">
        <v>104</v>
      </c>
      <c r="B183" s="117">
        <v>1.6093440000000001</v>
      </c>
      <c r="C183" s="117" t="s">
        <v>1235</v>
      </c>
      <c r="D183" s="117"/>
      <c r="E183" s="117"/>
      <c r="F183" s="117"/>
      <c r="G183" s="117"/>
      <c r="H183" s="117"/>
      <c r="I183" s="117"/>
      <c r="J183" s="117"/>
    </row>
    <row r="184" spans="1:12" ht="15">
      <c r="A184" s="119" t="s">
        <v>142</v>
      </c>
      <c r="B184" s="117" t="s">
        <v>152</v>
      </c>
      <c r="C184" s="117"/>
      <c r="D184" s="117"/>
      <c r="E184" s="117"/>
      <c r="F184" s="117"/>
      <c r="G184" s="117"/>
      <c r="H184" s="117"/>
      <c r="I184" s="117"/>
      <c r="J184" s="117"/>
    </row>
    <row r="185" spans="1:12" ht="33.75">
      <c r="A185" s="120" t="s">
        <v>150</v>
      </c>
      <c r="B185" s="117"/>
      <c r="C185" s="117"/>
      <c r="D185" s="117"/>
      <c r="E185" s="117"/>
      <c r="F185" s="117"/>
      <c r="G185" s="117"/>
      <c r="H185" s="117"/>
      <c r="I185" s="117"/>
      <c r="J185" s="117"/>
    </row>
    <row r="186" spans="1:12" ht="30">
      <c r="A186" s="119" t="s">
        <v>473</v>
      </c>
      <c r="B186" s="121"/>
      <c r="C186" s="122">
        <f>(C181-C155-C171-C172-C173)</f>
        <v>55986</v>
      </c>
      <c r="D186" s="122">
        <f>(D181-D155-D171-D172-D173)</f>
        <v>1512</v>
      </c>
      <c r="E186" s="122">
        <f>(E181-E155-E171-E172-E173)</f>
        <v>54474</v>
      </c>
      <c r="F186" s="122">
        <f>(F181-F155-F171-F172-F173)</f>
        <v>57705.508474576272</v>
      </c>
      <c r="G186" s="122">
        <f>1*G182</f>
        <v>338.15491423999993</v>
      </c>
      <c r="H186" s="122">
        <f>(G186*F186*B183)+((F155+F171+F172+F173)*G173)*B183</f>
        <v>31505303.719206586</v>
      </c>
    </row>
    <row r="187" spans="1:12" ht="45">
      <c r="A187" s="123" t="s">
        <v>264</v>
      </c>
      <c r="G187" s="126">
        <f>(1*K181)</f>
        <v>222.33479630954179</v>
      </c>
      <c r="H187" s="127">
        <f>(G187*F181)</f>
        <v>19843145.046477973</v>
      </c>
      <c r="I187" s="126">
        <f>(1*L181)</f>
        <v>305.62278963238901</v>
      </c>
      <c r="J187" s="127">
        <f>(I187*F181)</f>
        <v>27276510.221735604</v>
      </c>
    </row>
  </sheetData>
  <mergeCells count="5">
    <mergeCell ref="A113:E113"/>
    <mergeCell ref="A114:D114"/>
    <mergeCell ref="A47:D47"/>
    <mergeCell ref="A48:E48"/>
    <mergeCell ref="A49:G49"/>
  </mergeCells>
  <phoneticPr fontId="18" type="noConversion"/>
  <pageMargins left="0.75" right="0.75" top="1" bottom="1" header="0.5" footer="0.5"/>
  <rowBreaks count="2" manualBreakCount="2">
    <brk id="48" max="20" man="1"/>
    <brk id="117" max="20" man="1"/>
  </rowBreaks>
  <colBreaks count="1" manualBreakCount="1">
    <brk id="10" max="196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2:K47"/>
  <sheetViews>
    <sheetView workbookViewId="0">
      <selection activeCell="K23" sqref="K23"/>
    </sheetView>
  </sheetViews>
  <sheetFormatPr defaultColWidth="8.75" defaultRowHeight="14.25"/>
  <cols>
    <col min="1" max="1" width="19.25" customWidth="1"/>
    <col min="2" max="2" width="15.125" customWidth="1"/>
    <col min="3" max="3" width="11.875" customWidth="1"/>
    <col min="4" max="4" width="12.25" customWidth="1"/>
    <col min="5" max="5" width="13.375" customWidth="1"/>
    <col min="6" max="6" width="12.125" customWidth="1"/>
    <col min="7" max="7" width="16.375" customWidth="1"/>
    <col min="8" max="8" width="14.375" customWidth="1"/>
    <col min="9" max="9" width="11.625" customWidth="1"/>
    <col min="10" max="10" width="12" customWidth="1"/>
  </cols>
  <sheetData>
    <row r="2" spans="1:11" ht="15">
      <c r="A2" s="68" t="s">
        <v>566</v>
      </c>
      <c r="B2" s="68" t="s">
        <v>690</v>
      </c>
      <c r="C2" s="68" t="s">
        <v>236</v>
      </c>
      <c r="D2" s="68" t="s">
        <v>418</v>
      </c>
      <c r="E2" s="68" t="s">
        <v>419</v>
      </c>
      <c r="F2" s="68" t="s">
        <v>420</v>
      </c>
      <c r="G2" s="68" t="s">
        <v>556</v>
      </c>
      <c r="H2" s="68" t="s">
        <v>557</v>
      </c>
      <c r="I2" s="68" t="s">
        <v>565</v>
      </c>
      <c r="J2" s="67"/>
      <c r="K2" s="44"/>
    </row>
    <row r="3" spans="1:11" ht="15">
      <c r="A3" s="68" t="s">
        <v>580</v>
      </c>
      <c r="B3" s="68" t="s">
        <v>581</v>
      </c>
      <c r="C3" s="68" t="s">
        <v>581</v>
      </c>
      <c r="D3" s="68" t="s">
        <v>581</v>
      </c>
      <c r="E3" s="68" t="s">
        <v>581</v>
      </c>
      <c r="F3" s="68" t="s">
        <v>581</v>
      </c>
      <c r="G3" s="68" t="s">
        <v>581</v>
      </c>
      <c r="H3" s="68" t="s">
        <v>581</v>
      </c>
      <c r="I3" s="68" t="s">
        <v>582</v>
      </c>
      <c r="J3" s="67"/>
      <c r="K3" s="44"/>
    </row>
    <row r="4" spans="1:11">
      <c r="A4" s="44" t="s">
        <v>233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>
      <c r="A5" s="67" t="s">
        <v>123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>
      <c r="A6" s="44" t="s">
        <v>234</v>
      </c>
      <c r="B6" s="44">
        <v>80</v>
      </c>
      <c r="C6" s="44">
        <v>80</v>
      </c>
      <c r="D6" s="44">
        <v>80</v>
      </c>
      <c r="E6" s="44">
        <v>80</v>
      </c>
      <c r="F6" s="44">
        <v>80</v>
      </c>
      <c r="G6" s="44">
        <v>80</v>
      </c>
      <c r="H6" s="44">
        <v>80</v>
      </c>
      <c r="I6" s="44">
        <v>90</v>
      </c>
      <c r="J6" s="44"/>
      <c r="K6" s="44"/>
    </row>
    <row r="7" spans="1:11">
      <c r="A7" s="44" t="s">
        <v>232</v>
      </c>
      <c r="B7" s="44">
        <v>15</v>
      </c>
      <c r="C7" s="44">
        <v>15</v>
      </c>
      <c r="D7" s="44">
        <v>15</v>
      </c>
      <c r="E7" s="44">
        <v>15</v>
      </c>
      <c r="F7" s="44">
        <v>15</v>
      </c>
      <c r="G7" s="44">
        <v>15</v>
      </c>
      <c r="H7" s="44">
        <v>15</v>
      </c>
      <c r="I7" s="44">
        <v>17</v>
      </c>
      <c r="J7" s="44"/>
      <c r="K7" s="44"/>
    </row>
    <row r="8" spans="1:11">
      <c r="A8" s="44" t="s">
        <v>235</v>
      </c>
      <c r="B8" s="44">
        <v>5</v>
      </c>
      <c r="C8" s="44">
        <v>5</v>
      </c>
      <c r="D8" s="44">
        <v>5</v>
      </c>
      <c r="E8" s="44">
        <v>5</v>
      </c>
      <c r="F8" s="44">
        <v>5</v>
      </c>
      <c r="G8" s="44">
        <v>5</v>
      </c>
      <c r="H8" s="44">
        <v>5</v>
      </c>
      <c r="I8" s="44">
        <v>6</v>
      </c>
      <c r="J8" s="44"/>
      <c r="K8" s="44"/>
    </row>
    <row r="9" spans="1:11">
      <c r="A9" s="44" t="s">
        <v>231</v>
      </c>
      <c r="B9" s="46">
        <f>((B8/(B8+B7))*100)</f>
        <v>25</v>
      </c>
      <c r="C9" s="46">
        <f t="shared" ref="C9:I9" si="0">((C8/(C8+C7))*100)</f>
        <v>25</v>
      </c>
      <c r="D9" s="46">
        <f t="shared" si="0"/>
        <v>25</v>
      </c>
      <c r="E9" s="46">
        <f t="shared" si="0"/>
        <v>25</v>
      </c>
      <c r="F9" s="46">
        <f t="shared" si="0"/>
        <v>25</v>
      </c>
      <c r="G9" s="46">
        <f t="shared" si="0"/>
        <v>25</v>
      </c>
      <c r="H9" s="46">
        <f t="shared" si="0"/>
        <v>25</v>
      </c>
      <c r="I9" s="46">
        <f t="shared" si="0"/>
        <v>26.086956521739129</v>
      </c>
      <c r="J9" s="46"/>
      <c r="K9" s="44"/>
    </row>
    <row r="10" spans="1:11" ht="15">
      <c r="A10" s="67" t="s">
        <v>558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>
      <c r="A11" s="44" t="s">
        <v>234</v>
      </c>
      <c r="B11" s="44">
        <v>3900</v>
      </c>
      <c r="C11" s="44">
        <v>3900</v>
      </c>
      <c r="D11" s="44">
        <v>3900</v>
      </c>
      <c r="E11" s="44">
        <v>3900</v>
      </c>
      <c r="F11" s="44">
        <v>3900</v>
      </c>
      <c r="G11" s="44">
        <v>3900</v>
      </c>
      <c r="H11" s="44">
        <v>3900</v>
      </c>
      <c r="I11" s="44">
        <v>5496</v>
      </c>
      <c r="J11" s="44"/>
      <c r="K11" s="44"/>
    </row>
    <row r="12" spans="1:11">
      <c r="A12" s="44" t="s">
        <v>232</v>
      </c>
      <c r="B12" s="44">
        <v>80</v>
      </c>
      <c r="C12" s="44">
        <v>80</v>
      </c>
      <c r="D12" s="44">
        <v>80</v>
      </c>
      <c r="E12" s="44">
        <v>80</v>
      </c>
      <c r="F12" s="44">
        <v>80</v>
      </c>
      <c r="G12" s="44">
        <v>80</v>
      </c>
      <c r="H12" s="44">
        <v>80</v>
      </c>
      <c r="I12" s="44">
        <v>90</v>
      </c>
      <c r="J12" s="44"/>
      <c r="K12" s="44"/>
    </row>
    <row r="13" spans="1:11">
      <c r="A13" s="44" t="s">
        <v>235</v>
      </c>
      <c r="B13" s="44">
        <v>20</v>
      </c>
      <c r="C13" s="44">
        <v>20</v>
      </c>
      <c r="D13" s="44">
        <v>20</v>
      </c>
      <c r="E13" s="44">
        <v>20</v>
      </c>
      <c r="F13" s="44">
        <v>20</v>
      </c>
      <c r="G13" s="44">
        <v>20</v>
      </c>
      <c r="H13" s="44">
        <v>20</v>
      </c>
      <c r="I13" s="44">
        <v>22</v>
      </c>
      <c r="J13" s="44"/>
      <c r="K13" s="44"/>
    </row>
    <row r="14" spans="1:11">
      <c r="A14" s="44" t="s">
        <v>231</v>
      </c>
      <c r="B14" s="46">
        <f>((B13/(B13+B12))*100)</f>
        <v>20</v>
      </c>
      <c r="C14" s="46">
        <f t="shared" ref="C14:I14" si="1">((C13/(C13+C12))*100)</f>
        <v>20</v>
      </c>
      <c r="D14" s="46">
        <f t="shared" si="1"/>
        <v>20</v>
      </c>
      <c r="E14" s="46">
        <f t="shared" si="1"/>
        <v>20</v>
      </c>
      <c r="F14" s="46">
        <f t="shared" si="1"/>
        <v>20</v>
      </c>
      <c r="G14" s="46">
        <f t="shared" si="1"/>
        <v>20</v>
      </c>
      <c r="H14" s="46">
        <f t="shared" si="1"/>
        <v>20</v>
      </c>
      <c r="I14" s="46">
        <f t="shared" si="1"/>
        <v>19.642857142857142</v>
      </c>
      <c r="J14" s="46"/>
      <c r="K14" s="44"/>
    </row>
    <row r="15" spans="1:11" ht="15">
      <c r="A15" s="67" t="s">
        <v>559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>
      <c r="A16" s="44" t="s">
        <v>234</v>
      </c>
      <c r="B16" s="44">
        <v>12770</v>
      </c>
      <c r="C16" s="44">
        <v>12770</v>
      </c>
      <c r="D16" s="44">
        <v>12770</v>
      </c>
      <c r="E16" s="44">
        <v>12770</v>
      </c>
      <c r="F16" s="44">
        <v>12770</v>
      </c>
      <c r="G16" s="44">
        <v>12770</v>
      </c>
      <c r="H16" s="44">
        <v>12770</v>
      </c>
      <c r="I16" s="44">
        <v>9299</v>
      </c>
      <c r="J16" s="44"/>
      <c r="K16" s="44"/>
    </row>
    <row r="17" spans="1:11">
      <c r="A17" s="44" t="s">
        <v>232</v>
      </c>
      <c r="B17" s="44">
        <v>5630</v>
      </c>
      <c r="C17" s="44">
        <v>5630</v>
      </c>
      <c r="D17" s="44">
        <v>5630</v>
      </c>
      <c r="E17" s="44">
        <v>5630</v>
      </c>
      <c r="F17" s="44">
        <v>5630</v>
      </c>
      <c r="G17" s="44">
        <v>5630</v>
      </c>
      <c r="H17" s="44">
        <v>5630</v>
      </c>
      <c r="I17" s="44">
        <v>7515</v>
      </c>
      <c r="J17" s="44"/>
      <c r="K17" s="44"/>
    </row>
    <row r="18" spans="1:11">
      <c r="A18" s="44" t="s">
        <v>235</v>
      </c>
      <c r="B18" s="44">
        <v>2100</v>
      </c>
      <c r="C18" s="44">
        <v>2100</v>
      </c>
      <c r="D18" s="44">
        <v>2100</v>
      </c>
      <c r="E18" s="44">
        <v>2100</v>
      </c>
      <c r="F18" s="44">
        <v>2100</v>
      </c>
      <c r="G18" s="44">
        <v>2100</v>
      </c>
      <c r="H18" s="44">
        <v>2100</v>
      </c>
      <c r="I18" s="44">
        <v>3298</v>
      </c>
      <c r="J18" s="44"/>
      <c r="K18" s="44"/>
    </row>
    <row r="19" spans="1:11">
      <c r="A19" s="44" t="s">
        <v>231</v>
      </c>
      <c r="B19" s="46">
        <f>((B18/(B18+B17))*100)</f>
        <v>27.166882276843467</v>
      </c>
      <c r="C19" s="46">
        <f t="shared" ref="C19:I19" si="2">((C18/(C18+C17))*100)</f>
        <v>27.166882276843467</v>
      </c>
      <c r="D19" s="46">
        <f t="shared" si="2"/>
        <v>27.166882276843467</v>
      </c>
      <c r="E19" s="46">
        <f t="shared" si="2"/>
        <v>27.166882276843467</v>
      </c>
      <c r="F19" s="46">
        <f t="shared" si="2"/>
        <v>27.166882276843467</v>
      </c>
      <c r="G19" s="46">
        <f t="shared" si="2"/>
        <v>27.166882276843467</v>
      </c>
      <c r="H19" s="46">
        <f t="shared" si="2"/>
        <v>27.166882276843467</v>
      </c>
      <c r="I19" s="46">
        <f t="shared" si="2"/>
        <v>30.5003236844539</v>
      </c>
      <c r="J19" s="46"/>
      <c r="K19" s="44"/>
    </row>
    <row r="20" spans="1:11" ht="15">
      <c r="A20" s="67" t="s">
        <v>564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>
      <c r="A21" s="44" t="s">
        <v>234</v>
      </c>
      <c r="B21" s="44">
        <v>60</v>
      </c>
      <c r="C21" s="44">
        <v>60</v>
      </c>
      <c r="D21" s="44">
        <v>60</v>
      </c>
      <c r="E21" s="44">
        <v>60</v>
      </c>
      <c r="F21" s="44">
        <v>60</v>
      </c>
      <c r="G21" s="44">
        <v>60</v>
      </c>
      <c r="H21" s="44">
        <v>60</v>
      </c>
      <c r="I21" s="44">
        <v>1010</v>
      </c>
      <c r="J21" s="44"/>
      <c r="K21" s="44"/>
    </row>
    <row r="22" spans="1:11">
      <c r="A22" s="44" t="s">
        <v>232</v>
      </c>
      <c r="B22" s="44">
        <v>900</v>
      </c>
      <c r="C22" s="44">
        <v>900</v>
      </c>
      <c r="D22" s="44">
        <v>900</v>
      </c>
      <c r="E22" s="44">
        <v>900</v>
      </c>
      <c r="F22" s="44">
        <v>900</v>
      </c>
      <c r="G22" s="44">
        <v>900</v>
      </c>
      <c r="H22" s="44">
        <v>900</v>
      </c>
      <c r="I22" s="44">
        <v>337</v>
      </c>
      <c r="J22" s="44"/>
      <c r="K22" s="44"/>
    </row>
    <row r="23" spans="1:11">
      <c r="A23" s="44" t="s">
        <v>235</v>
      </c>
      <c r="B23" s="44">
        <v>165</v>
      </c>
      <c r="C23" s="44">
        <v>165</v>
      </c>
      <c r="D23" s="44">
        <v>165</v>
      </c>
      <c r="E23" s="44">
        <v>165</v>
      </c>
      <c r="F23" s="44">
        <v>165</v>
      </c>
      <c r="G23" s="44">
        <v>165</v>
      </c>
      <c r="H23" s="44">
        <v>165</v>
      </c>
      <c r="I23" s="44">
        <v>752</v>
      </c>
      <c r="J23" s="44"/>
      <c r="K23" s="44" t="s">
        <v>153</v>
      </c>
    </row>
    <row r="24" spans="1:11">
      <c r="A24" s="44" t="s">
        <v>231</v>
      </c>
      <c r="B24" s="46">
        <f>((B23/(B23+B22))*100)</f>
        <v>15.492957746478872</v>
      </c>
      <c r="C24" s="46">
        <f t="shared" ref="C24:H24" si="3">((C23/(C23+C22))*100)</f>
        <v>15.492957746478872</v>
      </c>
      <c r="D24" s="46">
        <f t="shared" si="3"/>
        <v>15.492957746478872</v>
      </c>
      <c r="E24" s="46">
        <f t="shared" si="3"/>
        <v>15.492957746478872</v>
      </c>
      <c r="F24" s="46">
        <f t="shared" si="3"/>
        <v>15.492957746478872</v>
      </c>
      <c r="G24" s="46">
        <f t="shared" si="3"/>
        <v>15.492957746478872</v>
      </c>
      <c r="H24" s="46">
        <f t="shared" si="3"/>
        <v>15.492957746478872</v>
      </c>
      <c r="I24" s="46">
        <f>((I23/(I23+I22+I21))*100)</f>
        <v>35.826584087660791</v>
      </c>
      <c r="J24" s="46"/>
      <c r="K24" s="44"/>
    </row>
    <row r="25" spans="1:11" ht="15">
      <c r="B25" s="68" t="s">
        <v>691</v>
      </c>
      <c r="C25" s="68" t="s">
        <v>686</v>
      </c>
      <c r="D25" s="68" t="s">
        <v>687</v>
      </c>
      <c r="E25" s="68" t="s">
        <v>692</v>
      </c>
      <c r="F25" s="68" t="s">
        <v>688</v>
      </c>
      <c r="G25" s="68" t="s">
        <v>689</v>
      </c>
      <c r="H25" s="68" t="s">
        <v>576</v>
      </c>
      <c r="I25" s="68" t="s">
        <v>577</v>
      </c>
      <c r="J25" s="68" t="s">
        <v>577</v>
      </c>
      <c r="K25" s="68" t="s">
        <v>578</v>
      </c>
    </row>
    <row r="26" spans="1:11" ht="15">
      <c r="A26" s="67" t="s">
        <v>579</v>
      </c>
      <c r="B26" s="67" t="s">
        <v>583</v>
      </c>
      <c r="C26" s="67" t="s">
        <v>584</v>
      </c>
      <c r="D26" s="67" t="s">
        <v>584</v>
      </c>
      <c r="E26" s="67" t="s">
        <v>585</v>
      </c>
      <c r="F26" s="67" t="s">
        <v>583</v>
      </c>
      <c r="G26" s="67" t="s">
        <v>583</v>
      </c>
      <c r="H26" s="67" t="s">
        <v>583</v>
      </c>
      <c r="I26" s="67" t="s">
        <v>583</v>
      </c>
      <c r="J26" s="67" t="s">
        <v>584</v>
      </c>
      <c r="K26" s="67" t="s">
        <v>585</v>
      </c>
    </row>
    <row r="27" spans="1:11">
      <c r="A27" s="44" t="s">
        <v>233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11" ht="15">
      <c r="A28" s="67" t="s">
        <v>123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11">
      <c r="A29" s="44" t="s">
        <v>234</v>
      </c>
      <c r="B29" s="44">
        <v>0</v>
      </c>
      <c r="C29" s="44">
        <v>0</v>
      </c>
      <c r="D29" s="44">
        <v>0</v>
      </c>
      <c r="E29" s="44">
        <v>80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80</v>
      </c>
    </row>
    <row r="30" spans="1:11">
      <c r="A30" s="44" t="s">
        <v>232</v>
      </c>
      <c r="B30" s="44">
        <v>0</v>
      </c>
      <c r="C30" s="44">
        <v>0</v>
      </c>
      <c r="D30" s="44">
        <v>0</v>
      </c>
      <c r="E30" s="44">
        <v>15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15</v>
      </c>
    </row>
    <row r="31" spans="1:11">
      <c r="A31" s="44" t="s">
        <v>235</v>
      </c>
      <c r="B31" s="44">
        <v>0</v>
      </c>
      <c r="C31" s="44">
        <v>0</v>
      </c>
      <c r="D31" s="44">
        <v>0</v>
      </c>
      <c r="E31" s="44">
        <v>5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5</v>
      </c>
    </row>
    <row r="32" spans="1:11">
      <c r="A32" s="44" t="s">
        <v>231</v>
      </c>
      <c r="B32" s="46">
        <v>0</v>
      </c>
      <c r="C32" s="46">
        <v>0</v>
      </c>
      <c r="D32" s="46">
        <v>0</v>
      </c>
      <c r="E32" s="46">
        <f>((E31/(E31+E30))*100)</f>
        <v>25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f>((K31/(K31+K30))*100)</f>
        <v>25</v>
      </c>
    </row>
    <row r="33" spans="1:11" ht="15">
      <c r="A33" s="67" t="s">
        <v>558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</row>
    <row r="34" spans="1:11">
      <c r="A34" s="44" t="s">
        <v>234</v>
      </c>
      <c r="B34" s="44">
        <v>2400</v>
      </c>
      <c r="C34" s="44">
        <v>1900</v>
      </c>
      <c r="D34" s="44">
        <v>1900</v>
      </c>
      <c r="E34" s="44">
        <v>3900</v>
      </c>
      <c r="F34" s="44">
        <v>2400</v>
      </c>
      <c r="G34" s="44">
        <v>2400</v>
      </c>
      <c r="H34" s="44">
        <v>2400</v>
      </c>
      <c r="I34" s="44">
        <v>2400</v>
      </c>
      <c r="J34" s="44">
        <v>1900</v>
      </c>
      <c r="K34" s="44">
        <v>3900</v>
      </c>
    </row>
    <row r="35" spans="1:11">
      <c r="A35" s="44" t="s">
        <v>232</v>
      </c>
      <c r="B35" s="44">
        <v>50</v>
      </c>
      <c r="C35" s="44">
        <v>50</v>
      </c>
      <c r="D35" s="44">
        <v>50</v>
      </c>
      <c r="E35" s="44">
        <v>80</v>
      </c>
      <c r="F35" s="44">
        <v>50</v>
      </c>
      <c r="G35" s="44">
        <v>50</v>
      </c>
      <c r="H35" s="44">
        <v>50</v>
      </c>
      <c r="I35" s="44">
        <v>50</v>
      </c>
      <c r="J35" s="44">
        <v>50</v>
      </c>
      <c r="K35" s="44">
        <v>80</v>
      </c>
    </row>
    <row r="36" spans="1:11">
      <c r="A36" s="44" t="s">
        <v>235</v>
      </c>
      <c r="B36" s="44">
        <v>50</v>
      </c>
      <c r="C36" s="44">
        <v>50</v>
      </c>
      <c r="D36" s="44">
        <v>50</v>
      </c>
      <c r="E36" s="44">
        <v>20</v>
      </c>
      <c r="F36" s="44">
        <v>50</v>
      </c>
      <c r="G36" s="44">
        <v>50</v>
      </c>
      <c r="H36" s="44">
        <v>50</v>
      </c>
      <c r="I36" s="44">
        <v>50</v>
      </c>
      <c r="J36" s="44">
        <v>50</v>
      </c>
      <c r="K36" s="44">
        <v>20</v>
      </c>
    </row>
    <row r="37" spans="1:11">
      <c r="A37" s="44" t="s">
        <v>231</v>
      </c>
      <c r="B37" s="46">
        <f>((B36/(B36+B35))*100)</f>
        <v>50</v>
      </c>
      <c r="C37" s="46">
        <f t="shared" ref="C37:K37" si="4">((C36/(C36+C35))*100)</f>
        <v>50</v>
      </c>
      <c r="D37" s="46">
        <f t="shared" si="4"/>
        <v>50</v>
      </c>
      <c r="E37" s="46">
        <f t="shared" si="4"/>
        <v>20</v>
      </c>
      <c r="F37" s="46">
        <f t="shared" si="4"/>
        <v>50</v>
      </c>
      <c r="G37" s="46">
        <f t="shared" si="4"/>
        <v>50</v>
      </c>
      <c r="H37" s="46">
        <f t="shared" si="4"/>
        <v>50</v>
      </c>
      <c r="I37" s="46">
        <f t="shared" si="4"/>
        <v>50</v>
      </c>
      <c r="J37" s="46">
        <f t="shared" si="4"/>
        <v>50</v>
      </c>
      <c r="K37" s="46">
        <f t="shared" si="4"/>
        <v>20</v>
      </c>
    </row>
    <row r="38" spans="1:11" ht="15">
      <c r="A38" s="67" t="s">
        <v>559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</row>
    <row r="39" spans="1:11">
      <c r="A39" s="44" t="s">
        <v>234</v>
      </c>
      <c r="B39" s="44">
        <v>4690</v>
      </c>
      <c r="C39" s="44">
        <v>3800</v>
      </c>
      <c r="D39" s="44">
        <v>3800</v>
      </c>
      <c r="E39" s="44">
        <v>12770</v>
      </c>
      <c r="F39" s="44">
        <v>4690</v>
      </c>
      <c r="G39" s="44">
        <v>4690</v>
      </c>
      <c r="H39" s="44">
        <v>4690</v>
      </c>
      <c r="I39" s="44">
        <v>4690</v>
      </c>
      <c r="J39" s="44">
        <v>3800</v>
      </c>
      <c r="K39" s="44">
        <v>12770</v>
      </c>
    </row>
    <row r="40" spans="1:11">
      <c r="A40" s="44" t="s">
        <v>232</v>
      </c>
      <c r="B40" s="44">
        <v>6225</v>
      </c>
      <c r="C40" s="44">
        <v>4950</v>
      </c>
      <c r="D40" s="44">
        <v>4950</v>
      </c>
      <c r="E40" s="44">
        <v>5630</v>
      </c>
      <c r="F40" s="44">
        <v>6225</v>
      </c>
      <c r="G40" s="44">
        <v>6225</v>
      </c>
      <c r="H40" s="44">
        <v>6225</v>
      </c>
      <c r="I40" s="44">
        <v>6225</v>
      </c>
      <c r="J40" s="44">
        <v>4950</v>
      </c>
      <c r="K40" s="44">
        <v>5630</v>
      </c>
    </row>
    <row r="41" spans="1:11">
      <c r="A41" s="44" t="s">
        <v>235</v>
      </c>
      <c r="B41" s="44">
        <v>1000</v>
      </c>
      <c r="C41" s="44">
        <v>1000</v>
      </c>
      <c r="D41" s="44">
        <v>1000</v>
      </c>
      <c r="E41" s="44">
        <v>2100</v>
      </c>
      <c r="F41" s="44">
        <v>1000</v>
      </c>
      <c r="G41" s="44">
        <v>1000</v>
      </c>
      <c r="H41" s="44">
        <v>1000</v>
      </c>
      <c r="I41" s="44">
        <v>1000</v>
      </c>
      <c r="J41" s="44">
        <v>1000</v>
      </c>
      <c r="K41" s="44">
        <v>2100</v>
      </c>
    </row>
    <row r="42" spans="1:11">
      <c r="A42" s="44" t="s">
        <v>231</v>
      </c>
      <c r="B42" s="46">
        <f>((B41/(B41+B40))*100)</f>
        <v>13.84083044982699</v>
      </c>
      <c r="C42" s="46">
        <f t="shared" ref="C42:K42" si="5">((C41/(C41+C40))*100)</f>
        <v>16.806722689075631</v>
      </c>
      <c r="D42" s="46">
        <f t="shared" si="5"/>
        <v>16.806722689075631</v>
      </c>
      <c r="E42" s="46">
        <f t="shared" si="5"/>
        <v>27.166882276843467</v>
      </c>
      <c r="F42" s="46">
        <f t="shared" si="5"/>
        <v>13.84083044982699</v>
      </c>
      <c r="G42" s="46">
        <f t="shared" si="5"/>
        <v>13.84083044982699</v>
      </c>
      <c r="H42" s="46">
        <f t="shared" si="5"/>
        <v>13.84083044982699</v>
      </c>
      <c r="I42" s="46">
        <f t="shared" si="5"/>
        <v>13.84083044982699</v>
      </c>
      <c r="J42" s="46">
        <f t="shared" si="5"/>
        <v>16.806722689075631</v>
      </c>
      <c r="K42" s="46">
        <f t="shared" si="5"/>
        <v>27.166882276843467</v>
      </c>
    </row>
    <row r="43" spans="1:11" ht="15">
      <c r="A43" s="67" t="s">
        <v>564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>
      <c r="A44" s="44" t="s">
        <v>234</v>
      </c>
      <c r="B44" s="44">
        <v>100</v>
      </c>
      <c r="C44" s="44">
        <v>100</v>
      </c>
      <c r="D44" s="44">
        <v>100</v>
      </c>
      <c r="E44" s="44">
        <v>60</v>
      </c>
      <c r="F44" s="44">
        <v>100</v>
      </c>
      <c r="G44" s="44">
        <v>100</v>
      </c>
      <c r="H44" s="44">
        <v>100</v>
      </c>
      <c r="I44" s="44">
        <v>100</v>
      </c>
      <c r="J44" s="44">
        <v>0</v>
      </c>
      <c r="K44" s="44">
        <v>60</v>
      </c>
    </row>
    <row r="45" spans="1:11">
      <c r="A45" s="44" t="s">
        <v>232</v>
      </c>
      <c r="B45" s="44">
        <v>0</v>
      </c>
      <c r="C45" s="44">
        <v>0</v>
      </c>
      <c r="D45" s="44">
        <v>0</v>
      </c>
      <c r="E45" s="44">
        <v>900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900</v>
      </c>
    </row>
    <row r="46" spans="1:11">
      <c r="A46" s="44" t="s">
        <v>235</v>
      </c>
      <c r="B46" s="44">
        <v>0</v>
      </c>
      <c r="C46" s="44">
        <v>0</v>
      </c>
      <c r="D46" s="44">
        <v>0</v>
      </c>
      <c r="E46" s="44">
        <v>165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165</v>
      </c>
    </row>
    <row r="47" spans="1:11">
      <c r="A47" s="44" t="s">
        <v>231</v>
      </c>
      <c r="B47" s="46">
        <v>0</v>
      </c>
      <c r="C47" s="46">
        <v>0</v>
      </c>
      <c r="D47" s="46">
        <v>0</v>
      </c>
      <c r="E47" s="46">
        <f>((E46/(E46+E45))*100)</f>
        <v>15.492957746478872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f>((K46/(K46+K45))*100)</f>
        <v>15.492957746478872</v>
      </c>
    </row>
  </sheetData>
  <phoneticPr fontId="5" type="noConversion"/>
  <pageMargins left="0.75" right="0.75" top="1" bottom="1" header="0.5" footer="0.5"/>
  <rowBreaks count="1" manualBreakCount="1">
    <brk id="2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Q176"/>
  <sheetViews>
    <sheetView workbookViewId="0">
      <selection activeCell="M108" sqref="M108"/>
    </sheetView>
  </sheetViews>
  <sheetFormatPr defaultColWidth="8.75" defaultRowHeight="14.25"/>
  <cols>
    <col min="1" max="1" width="11.625" customWidth="1"/>
    <col min="2" max="2" width="10.625" customWidth="1"/>
    <col min="3" max="3" width="11.25" customWidth="1"/>
    <col min="4" max="4" width="10.625" customWidth="1"/>
    <col min="5" max="5" width="10.125" customWidth="1"/>
    <col min="6" max="6" width="10.25" customWidth="1"/>
    <col min="7" max="7" width="11.375" customWidth="1"/>
    <col min="8" max="8" width="10.75" bestFit="1" customWidth="1"/>
    <col min="9" max="9" width="10.375" customWidth="1"/>
  </cols>
  <sheetData>
    <row r="1" spans="1:5" ht="15" thickBot="1">
      <c r="A1" t="s">
        <v>247</v>
      </c>
      <c r="D1" s="117"/>
      <c r="E1" s="133"/>
    </row>
    <row r="2" spans="1:5" ht="39" thickBot="1">
      <c r="A2" s="128" t="s">
        <v>1260</v>
      </c>
      <c r="B2" s="129" t="s">
        <v>83</v>
      </c>
      <c r="C2" s="134" t="s">
        <v>84</v>
      </c>
      <c r="D2" s="117"/>
      <c r="E2" s="133"/>
    </row>
    <row r="3" spans="1:5" ht="26.25" thickBot="1">
      <c r="A3" s="130" t="s">
        <v>1261</v>
      </c>
      <c r="B3" s="131">
        <v>302000</v>
      </c>
      <c r="C3" s="135">
        <v>233000</v>
      </c>
      <c r="D3" s="117"/>
      <c r="E3" s="133"/>
    </row>
    <row r="4" spans="1:5" ht="15" thickBot="1">
      <c r="A4" s="130" t="s">
        <v>8</v>
      </c>
      <c r="B4" s="131">
        <v>192000</v>
      </c>
      <c r="C4" s="135">
        <v>124000</v>
      </c>
      <c r="D4" s="117"/>
      <c r="E4" s="133"/>
    </row>
    <row r="5" spans="1:5" ht="26.25" thickBot="1">
      <c r="A5" s="130" t="s">
        <v>1180</v>
      </c>
      <c r="B5" s="132">
        <v>524</v>
      </c>
      <c r="C5" s="136">
        <v>524</v>
      </c>
      <c r="D5" s="117"/>
      <c r="E5" s="133"/>
    </row>
    <row r="6" spans="1:5" ht="26.25" thickBot="1">
      <c r="A6" s="130" t="s">
        <v>1181</v>
      </c>
      <c r="B6" s="131">
        <v>8260</v>
      </c>
      <c r="C6" s="135">
        <v>8260</v>
      </c>
      <c r="D6" s="117"/>
      <c r="E6" s="133"/>
    </row>
    <row r="7" spans="1:5">
      <c r="A7" s="137" t="s">
        <v>1182</v>
      </c>
      <c r="B7" s="138">
        <v>101000</v>
      </c>
      <c r="C7" s="139">
        <v>101000</v>
      </c>
    </row>
    <row r="8" spans="1:5" ht="15">
      <c r="A8" s="140" t="s">
        <v>646</v>
      </c>
      <c r="B8" s="141">
        <f>SUM(B4:B7)</f>
        <v>301784</v>
      </c>
      <c r="C8" s="141">
        <f>SUM(C4:C7)</f>
        <v>233784</v>
      </c>
    </row>
    <row r="19" spans="1:3" ht="15" thickBot="1">
      <c r="A19" t="s">
        <v>246</v>
      </c>
    </row>
    <row r="20" spans="1:3" ht="39" thickBot="1">
      <c r="A20" s="128" t="s">
        <v>1183</v>
      </c>
      <c r="B20" s="129" t="s">
        <v>83</v>
      </c>
      <c r="C20" s="129" t="s">
        <v>84</v>
      </c>
    </row>
    <row r="21" spans="1:3" ht="26.25" thickBot="1">
      <c r="A21" s="130" t="s">
        <v>52</v>
      </c>
      <c r="B21" s="131">
        <v>320000</v>
      </c>
      <c r="C21" s="131">
        <v>241000</v>
      </c>
    </row>
    <row r="22" spans="1:3" ht="15" thickBot="1">
      <c r="A22" s="130" t="s">
        <v>78</v>
      </c>
      <c r="B22" s="131">
        <v>27300</v>
      </c>
      <c r="C22" s="131">
        <v>17600</v>
      </c>
    </row>
    <row r="23" spans="1:3" ht="26.25" thickBot="1">
      <c r="A23" s="130" t="s">
        <v>79</v>
      </c>
      <c r="B23" s="131">
        <v>2730</v>
      </c>
      <c r="C23" s="131">
        <v>1760</v>
      </c>
    </row>
    <row r="24" spans="1:3" ht="26.25" thickBot="1">
      <c r="A24" s="130" t="s">
        <v>80</v>
      </c>
      <c r="B24" s="132">
        <v>5.31</v>
      </c>
      <c r="C24" s="132">
        <v>5.31</v>
      </c>
    </row>
    <row r="25" spans="1:3" ht="26.25" thickBot="1">
      <c r="A25" s="130" t="s">
        <v>81</v>
      </c>
      <c r="B25" s="132">
        <v>10.6</v>
      </c>
      <c r="C25" s="132">
        <v>10.6</v>
      </c>
    </row>
    <row r="26" spans="1:3" ht="15" thickBot="1">
      <c r="A26" s="130" t="s">
        <v>9</v>
      </c>
      <c r="B26" s="131">
        <v>192000</v>
      </c>
      <c r="C26" s="131">
        <v>124000</v>
      </c>
    </row>
    <row r="27" spans="1:3" ht="26.25" thickBot="1">
      <c r="A27" s="130" t="s">
        <v>53</v>
      </c>
      <c r="B27" s="132">
        <v>514</v>
      </c>
      <c r="C27" s="132">
        <v>514</v>
      </c>
    </row>
    <row r="28" spans="1:3" ht="15" thickBot="1">
      <c r="A28" s="130" t="s">
        <v>54</v>
      </c>
      <c r="B28" s="131">
        <v>2720</v>
      </c>
      <c r="C28" s="131">
        <v>2720</v>
      </c>
    </row>
    <row r="29" spans="1:3" ht="26.25" thickBot="1">
      <c r="A29" s="130" t="s">
        <v>82</v>
      </c>
      <c r="B29" s="132">
        <v>74.900000000000006</v>
      </c>
      <c r="C29" s="132">
        <v>74.900000000000006</v>
      </c>
    </row>
    <row r="30" spans="1:3" ht="26.25" thickBot="1">
      <c r="A30" s="130" t="s">
        <v>156</v>
      </c>
      <c r="B30" s="131">
        <v>2560</v>
      </c>
      <c r="C30" s="131">
        <v>2560</v>
      </c>
    </row>
    <row r="31" spans="1:3">
      <c r="A31" s="137" t="s">
        <v>1182</v>
      </c>
      <c r="B31" s="138">
        <v>91800</v>
      </c>
      <c r="C31" s="138">
        <v>91800</v>
      </c>
    </row>
    <row r="32" spans="1:3">
      <c r="A32" s="142" t="s">
        <v>646</v>
      </c>
      <c r="B32" s="143">
        <f>SUM(B22:B31)</f>
        <v>319714.81</v>
      </c>
      <c r="C32" s="143">
        <f>SUM(C22:C31)</f>
        <v>241044.81</v>
      </c>
    </row>
    <row r="33" spans="1:6" ht="15" thickBot="1">
      <c r="A33" s="329" t="s">
        <v>245</v>
      </c>
      <c r="B33" s="330"/>
      <c r="C33" s="330"/>
      <c r="D33" s="330"/>
      <c r="E33" s="330"/>
      <c r="F33" s="330"/>
    </row>
    <row r="34" spans="1:6" ht="39" thickBot="1">
      <c r="A34" s="128" t="s">
        <v>157</v>
      </c>
      <c r="B34" s="129" t="s">
        <v>83</v>
      </c>
      <c r="C34" s="129" t="s">
        <v>84</v>
      </c>
    </row>
    <row r="35" spans="1:6" ht="26.25" thickBot="1">
      <c r="A35" s="130" t="s">
        <v>52</v>
      </c>
      <c r="B35" s="131">
        <v>106000</v>
      </c>
      <c r="C35" s="131">
        <v>37100</v>
      </c>
    </row>
    <row r="36" spans="1:6" ht="15" thickBot="1">
      <c r="A36" s="130" t="s">
        <v>305</v>
      </c>
      <c r="B36" s="131">
        <v>1560</v>
      </c>
      <c r="C36" s="131">
        <v>1000</v>
      </c>
    </row>
    <row r="37" spans="1:6" ht="15" thickBot="1">
      <c r="A37" s="130" t="s">
        <v>8</v>
      </c>
      <c r="B37" s="131">
        <v>192000</v>
      </c>
      <c r="C37" s="131">
        <v>124000</v>
      </c>
    </row>
    <row r="38" spans="1:6" ht="15" thickBot="1">
      <c r="A38" s="130" t="s">
        <v>161</v>
      </c>
      <c r="B38" s="132">
        <v>354</v>
      </c>
      <c r="C38" s="132">
        <v>354</v>
      </c>
    </row>
    <row r="39" spans="1:6" ht="26.25" thickBot="1">
      <c r="A39" s="130" t="s">
        <v>162</v>
      </c>
      <c r="B39" s="131">
        <v>1430</v>
      </c>
      <c r="C39" s="131">
        <v>1430</v>
      </c>
    </row>
    <row r="40" spans="1:6" ht="15" thickBot="1">
      <c r="A40" s="130" t="s">
        <v>158</v>
      </c>
      <c r="B40" s="131">
        <v>3910</v>
      </c>
      <c r="C40" s="131">
        <v>3910</v>
      </c>
    </row>
    <row r="41" spans="1:6" ht="26.25" thickBot="1">
      <c r="A41" s="130" t="s">
        <v>49</v>
      </c>
      <c r="B41" s="131">
        <v>-111000</v>
      </c>
      <c r="C41" s="131">
        <v>-111000</v>
      </c>
    </row>
    <row r="42" spans="1:6" ht="15" thickBot="1">
      <c r="A42" s="130" t="s">
        <v>54</v>
      </c>
      <c r="B42" s="131">
        <v>2720</v>
      </c>
      <c r="C42" s="131">
        <v>2720</v>
      </c>
    </row>
    <row r="43" spans="1:6" ht="26.25" thickBot="1">
      <c r="A43" s="130" t="s">
        <v>301</v>
      </c>
      <c r="B43" s="131">
        <v>4550</v>
      </c>
      <c r="C43" s="131">
        <v>4550</v>
      </c>
    </row>
    <row r="44" spans="1:6" ht="26.25" thickBot="1">
      <c r="A44" s="130" t="s">
        <v>53</v>
      </c>
      <c r="B44" s="132">
        <v>514</v>
      </c>
      <c r="C44" s="132">
        <v>514</v>
      </c>
    </row>
    <row r="45" spans="1:6" ht="15" thickBot="1">
      <c r="A45" s="130" t="s">
        <v>303</v>
      </c>
      <c r="B45" s="131">
        <v>2990</v>
      </c>
      <c r="C45" s="131">
        <v>2990</v>
      </c>
    </row>
    <row r="46" spans="1:6" ht="15" thickBot="1">
      <c r="A46" s="130" t="s">
        <v>304</v>
      </c>
      <c r="B46" s="132">
        <v>798</v>
      </c>
      <c r="C46" s="132">
        <v>798</v>
      </c>
    </row>
    <row r="47" spans="1:6" ht="26.25" thickBot="1">
      <c r="A47" s="130" t="s">
        <v>160</v>
      </c>
      <c r="B47" s="132">
        <v>62.6</v>
      </c>
      <c r="C47" s="132">
        <v>62.6</v>
      </c>
    </row>
    <row r="48" spans="1:6" ht="15" thickBot="1">
      <c r="A48" s="130" t="s">
        <v>158</v>
      </c>
      <c r="B48" s="132">
        <v>145</v>
      </c>
      <c r="C48" s="132">
        <v>145</v>
      </c>
    </row>
    <row r="49" spans="1:5" ht="26.25" thickBot="1">
      <c r="A49" s="130" t="s">
        <v>159</v>
      </c>
      <c r="B49" s="132">
        <v>205</v>
      </c>
      <c r="C49" s="132">
        <v>205</v>
      </c>
    </row>
    <row r="50" spans="1:5" ht="26.25" thickBot="1">
      <c r="A50" s="130" t="s">
        <v>55</v>
      </c>
      <c r="B50" s="132">
        <v>263</v>
      </c>
      <c r="C50" s="132">
        <v>263</v>
      </c>
    </row>
    <row r="51" spans="1:5">
      <c r="A51" s="144" t="s">
        <v>302</v>
      </c>
      <c r="B51" s="145">
        <v>5210</v>
      </c>
      <c r="C51" s="145">
        <v>5210</v>
      </c>
    </row>
    <row r="52" spans="1:5" ht="15">
      <c r="A52" s="140" t="s">
        <v>646</v>
      </c>
      <c r="B52" s="141">
        <f>SUM(B36:B51)</f>
        <v>105711.6</v>
      </c>
      <c r="C52" s="141">
        <f>SUM(C36:C51)</f>
        <v>37151.599999999999</v>
      </c>
    </row>
    <row r="53" spans="1:5" ht="32.25" customHeight="1" thickBot="1">
      <c r="A53" s="329" t="s">
        <v>244</v>
      </c>
      <c r="B53" s="330"/>
      <c r="C53" s="330"/>
      <c r="D53" s="330"/>
      <c r="E53" s="330"/>
    </row>
    <row r="54" spans="1:5" ht="39" thickBot="1">
      <c r="A54" s="128" t="s">
        <v>157</v>
      </c>
      <c r="B54" s="129" t="s">
        <v>83</v>
      </c>
      <c r="C54" s="129" t="s">
        <v>84</v>
      </c>
    </row>
    <row r="55" spans="1:5" ht="26.25" thickBot="1">
      <c r="A55" s="130" t="s">
        <v>52</v>
      </c>
      <c r="B55" s="131">
        <v>108000</v>
      </c>
      <c r="C55" s="131">
        <v>39500</v>
      </c>
    </row>
    <row r="56" spans="1:5" ht="26.25" thickBot="1">
      <c r="A56" s="130" t="s">
        <v>10</v>
      </c>
      <c r="B56" s="131">
        <v>1560</v>
      </c>
      <c r="C56" s="131">
        <v>1000</v>
      </c>
    </row>
    <row r="57" spans="1:5" ht="26.25" thickBot="1">
      <c r="A57" s="130" t="s">
        <v>159</v>
      </c>
      <c r="B57" s="132">
        <v>507</v>
      </c>
      <c r="C57" s="132">
        <v>507</v>
      </c>
    </row>
    <row r="58" spans="1:5" ht="15" thickBot="1">
      <c r="A58" s="130" t="s">
        <v>11</v>
      </c>
      <c r="B58" s="132">
        <v>351</v>
      </c>
      <c r="C58" s="132">
        <v>351</v>
      </c>
    </row>
    <row r="59" spans="1:5" ht="26.25" thickBot="1">
      <c r="A59" s="130" t="s">
        <v>306</v>
      </c>
      <c r="B59" s="132">
        <v>152</v>
      </c>
      <c r="C59" s="132">
        <v>152</v>
      </c>
    </row>
    <row r="60" spans="1:5" ht="15" thickBot="1">
      <c r="A60" s="130" t="s">
        <v>8</v>
      </c>
      <c r="B60" s="131">
        <v>192000</v>
      </c>
      <c r="C60" s="131">
        <v>124000</v>
      </c>
    </row>
    <row r="61" spans="1:5" ht="15" thickBot="1">
      <c r="A61" s="130" t="s">
        <v>54</v>
      </c>
      <c r="B61" s="131">
        <v>2720</v>
      </c>
      <c r="C61" s="131">
        <v>2720</v>
      </c>
    </row>
    <row r="62" spans="1:5" ht="26.25" thickBot="1">
      <c r="A62" s="130" t="s">
        <v>159</v>
      </c>
      <c r="B62" s="131">
        <v>3580</v>
      </c>
      <c r="C62" s="131">
        <v>3580</v>
      </c>
    </row>
    <row r="63" spans="1:5" ht="15" thickBot="1">
      <c r="A63" s="130" t="s">
        <v>12</v>
      </c>
      <c r="B63" s="131">
        <v>2470</v>
      </c>
      <c r="C63" s="131">
        <v>2470</v>
      </c>
    </row>
    <row r="64" spans="1:5" ht="26.25" thickBot="1">
      <c r="A64" s="130" t="s">
        <v>160</v>
      </c>
      <c r="B64" s="131">
        <v>1070</v>
      </c>
      <c r="C64" s="131">
        <v>1070</v>
      </c>
    </row>
    <row r="65" spans="1:7" ht="26.25" thickBot="1">
      <c r="A65" s="130" t="s">
        <v>53</v>
      </c>
      <c r="B65" s="132">
        <v>514</v>
      </c>
      <c r="C65" s="132">
        <v>514</v>
      </c>
    </row>
    <row r="66" spans="1:7" ht="26.25" thickBot="1">
      <c r="A66" s="130" t="s">
        <v>214</v>
      </c>
      <c r="B66" s="131">
        <v>4550</v>
      </c>
      <c r="C66" s="131">
        <v>4550</v>
      </c>
    </row>
    <row r="67" spans="1:7" ht="26.25" thickBot="1">
      <c r="A67" s="130" t="s">
        <v>6</v>
      </c>
      <c r="B67" s="131">
        <v>-111000</v>
      </c>
      <c r="C67" s="131">
        <v>-111000</v>
      </c>
    </row>
    <row r="68" spans="1:7" ht="15" thickBot="1">
      <c r="A68" s="130" t="s">
        <v>215</v>
      </c>
      <c r="B68" s="131">
        <v>2990</v>
      </c>
      <c r="C68" s="131">
        <v>2990</v>
      </c>
    </row>
    <row r="69" spans="1:7" ht="15" thickBot="1">
      <c r="A69" s="130" t="s">
        <v>216</v>
      </c>
      <c r="B69" s="132">
        <v>798</v>
      </c>
      <c r="C69" s="132">
        <v>798</v>
      </c>
    </row>
    <row r="70" spans="1:7" ht="26.25" thickBot="1">
      <c r="A70" s="130" t="s">
        <v>160</v>
      </c>
      <c r="B70" s="132">
        <v>62.6</v>
      </c>
      <c r="C70" s="132">
        <v>62.6</v>
      </c>
    </row>
    <row r="71" spans="1:7" ht="15" thickBot="1">
      <c r="A71" s="130" t="s">
        <v>11</v>
      </c>
      <c r="B71" s="132">
        <v>145</v>
      </c>
      <c r="C71" s="132">
        <v>145</v>
      </c>
    </row>
    <row r="72" spans="1:7" ht="26.25" thickBot="1">
      <c r="A72" s="130" t="s">
        <v>159</v>
      </c>
      <c r="B72" s="132">
        <v>205</v>
      </c>
      <c r="C72" s="132">
        <v>205</v>
      </c>
    </row>
    <row r="73" spans="1:7" ht="26.25" thickBot="1">
      <c r="A73" s="130" t="s">
        <v>7</v>
      </c>
      <c r="B73" s="132">
        <v>263</v>
      </c>
      <c r="C73" s="132">
        <v>263</v>
      </c>
    </row>
    <row r="74" spans="1:7">
      <c r="A74" s="137" t="s">
        <v>302</v>
      </c>
      <c r="B74" s="138">
        <v>5210</v>
      </c>
      <c r="C74" s="138">
        <v>5210</v>
      </c>
    </row>
    <row r="75" spans="1:7" ht="15">
      <c r="A75" s="140" t="s">
        <v>646</v>
      </c>
      <c r="B75" s="141">
        <f>SUM(B56:B74)</f>
        <v>108147.6</v>
      </c>
      <c r="C75" s="141">
        <f>SUM(C56:C74)</f>
        <v>39587.599999999999</v>
      </c>
    </row>
    <row r="77" spans="1:7" ht="41.25" customHeight="1">
      <c r="A77" s="327" t="s">
        <v>275</v>
      </c>
      <c r="B77" s="324"/>
      <c r="C77" s="324"/>
      <c r="D77" s="147"/>
      <c r="E77" s="147"/>
      <c r="F77" s="147"/>
      <c r="G77" s="147"/>
    </row>
    <row r="78" spans="1:7" ht="36.75" customHeight="1">
      <c r="A78" s="150" t="s">
        <v>157</v>
      </c>
      <c r="B78" s="150" t="s">
        <v>92</v>
      </c>
      <c r="C78" s="150" t="s">
        <v>93</v>
      </c>
      <c r="D78" s="150" t="s">
        <v>422</v>
      </c>
      <c r="E78" s="150" t="s">
        <v>94</v>
      </c>
      <c r="F78" s="148"/>
      <c r="G78" s="147"/>
    </row>
    <row r="79" spans="1:7">
      <c r="A79" s="150" t="s">
        <v>8</v>
      </c>
      <c r="B79" s="151">
        <v>192000</v>
      </c>
      <c r="C79" s="151">
        <v>192000</v>
      </c>
      <c r="D79" s="151">
        <v>192000</v>
      </c>
      <c r="E79" s="151">
        <v>192000</v>
      </c>
      <c r="F79" s="148"/>
      <c r="G79" s="147"/>
    </row>
    <row r="80" spans="1:7" ht="25.5">
      <c r="A80" s="150" t="s">
        <v>85</v>
      </c>
      <c r="B80" s="150">
        <v>0</v>
      </c>
      <c r="C80" s="151">
        <v>30000</v>
      </c>
      <c r="D80" s="151">
        <v>1716</v>
      </c>
      <c r="E80" s="151">
        <v>1716</v>
      </c>
      <c r="F80" s="148"/>
      <c r="G80" s="147"/>
    </row>
    <row r="81" spans="1:7">
      <c r="A81" s="150" t="s">
        <v>86</v>
      </c>
      <c r="B81" s="150">
        <v>524</v>
      </c>
      <c r="C81" s="150">
        <v>90.8</v>
      </c>
      <c r="D81" s="151">
        <v>1697.6</v>
      </c>
      <c r="E81" s="151">
        <v>5576.6</v>
      </c>
      <c r="F81" s="148"/>
      <c r="G81" s="147"/>
    </row>
    <row r="82" spans="1:7">
      <c r="A82" s="150" t="s">
        <v>11</v>
      </c>
      <c r="B82" s="150">
        <v>0</v>
      </c>
      <c r="C82" s="150">
        <v>0</v>
      </c>
      <c r="D82" s="151">
        <v>4055</v>
      </c>
      <c r="E82" s="151">
        <v>2966</v>
      </c>
      <c r="F82" s="148"/>
      <c r="G82" s="147"/>
    </row>
    <row r="83" spans="1:7">
      <c r="A83" s="150" t="s">
        <v>87</v>
      </c>
      <c r="B83" s="150">
        <v>0</v>
      </c>
      <c r="C83" s="151">
        <v>3234</v>
      </c>
      <c r="D83" s="151">
        <v>3234</v>
      </c>
      <c r="E83" s="151">
        <v>3234</v>
      </c>
      <c r="F83" s="148"/>
      <c r="G83" s="147"/>
    </row>
    <row r="84" spans="1:7">
      <c r="A84" s="150" t="s">
        <v>88</v>
      </c>
      <c r="B84" s="150">
        <v>0</v>
      </c>
      <c r="C84" s="150">
        <v>0</v>
      </c>
      <c r="D84" s="151">
        <v>4550</v>
      </c>
      <c r="E84" s="151">
        <v>4550</v>
      </c>
      <c r="F84" s="148"/>
      <c r="G84" s="147"/>
    </row>
    <row r="85" spans="1:7" ht="25.5">
      <c r="A85" s="150" t="s">
        <v>89</v>
      </c>
      <c r="B85" s="150">
        <v>0</v>
      </c>
      <c r="C85" s="150">
        <v>9</v>
      </c>
      <c r="D85" s="151">
        <v>4142</v>
      </c>
      <c r="E85" s="151">
        <v>3788</v>
      </c>
      <c r="F85" s="148"/>
      <c r="G85" s="147"/>
    </row>
    <row r="86" spans="1:7" ht="25.5">
      <c r="A86" s="150" t="s">
        <v>90</v>
      </c>
      <c r="B86" s="150">
        <v>0</v>
      </c>
      <c r="C86" s="150">
        <v>0</v>
      </c>
      <c r="D86" s="151">
        <v>-111000</v>
      </c>
      <c r="E86" s="151">
        <v>-111000</v>
      </c>
      <c r="F86" s="148"/>
      <c r="G86" s="147"/>
    </row>
    <row r="87" spans="1:7">
      <c r="A87" s="150" t="s">
        <v>1182</v>
      </c>
      <c r="B87" s="151">
        <v>101000</v>
      </c>
      <c r="C87" s="151">
        <v>94400</v>
      </c>
      <c r="D87" s="151">
        <v>5473</v>
      </c>
      <c r="E87" s="151">
        <v>5473</v>
      </c>
      <c r="F87" s="148"/>
      <c r="G87" s="147"/>
    </row>
    <row r="88" spans="1:7">
      <c r="A88" s="150" t="s">
        <v>91</v>
      </c>
      <c r="B88" s="151">
        <v>8260</v>
      </c>
      <c r="C88" s="150">
        <v>0</v>
      </c>
      <c r="D88" s="150">
        <v>0</v>
      </c>
      <c r="E88" s="150">
        <v>0</v>
      </c>
      <c r="F88" s="148"/>
      <c r="G88" s="147"/>
    </row>
    <row r="89" spans="1:7">
      <c r="A89" s="142" t="s">
        <v>646</v>
      </c>
      <c r="B89" s="143">
        <f>SUM(B79:B88)</f>
        <v>301784</v>
      </c>
      <c r="C89" s="143">
        <f>SUM(C79:C88)</f>
        <v>319733.8</v>
      </c>
      <c r="D89" s="143">
        <f>SUM(D79:D88)</f>
        <v>105867.6</v>
      </c>
      <c r="E89" s="143">
        <f>SUM(E79:E88)</f>
        <v>108303.6</v>
      </c>
      <c r="F89" s="148"/>
      <c r="G89" s="147"/>
    </row>
    <row r="90" spans="1:7" ht="25.5">
      <c r="A90" s="150" t="s">
        <v>52</v>
      </c>
      <c r="B90" s="151">
        <v>302000</v>
      </c>
      <c r="C90" s="151">
        <v>320000</v>
      </c>
      <c r="D90" s="151">
        <v>106000</v>
      </c>
      <c r="E90" s="151">
        <v>108000</v>
      </c>
      <c r="F90" s="148"/>
      <c r="G90" s="147"/>
    </row>
    <row r="91" spans="1:7">
      <c r="A91" s="148"/>
      <c r="B91" s="148"/>
      <c r="C91" s="148"/>
      <c r="D91" s="148"/>
      <c r="E91" s="148"/>
      <c r="F91" s="148"/>
      <c r="G91" s="147"/>
    </row>
    <row r="92" spans="1:7" ht="28.5" customHeight="1">
      <c r="A92" s="327" t="s">
        <v>243</v>
      </c>
      <c r="B92" s="324"/>
      <c r="C92" s="324"/>
      <c r="D92" s="147"/>
      <c r="E92" s="147"/>
      <c r="F92" s="148"/>
      <c r="G92" s="147"/>
    </row>
    <row r="93" spans="1:7" ht="25.5">
      <c r="A93" s="150" t="s">
        <v>157</v>
      </c>
      <c r="B93" s="150" t="s">
        <v>92</v>
      </c>
      <c r="C93" s="150" t="s">
        <v>93</v>
      </c>
      <c r="D93" s="150" t="s">
        <v>422</v>
      </c>
      <c r="E93" s="150" t="s">
        <v>94</v>
      </c>
      <c r="F93" s="148"/>
      <c r="G93" s="147"/>
    </row>
    <row r="94" spans="1:7">
      <c r="A94" s="150" t="s">
        <v>8</v>
      </c>
      <c r="B94" s="151">
        <v>124000</v>
      </c>
      <c r="C94" s="151">
        <v>124000</v>
      </c>
      <c r="D94" s="151">
        <v>124000</v>
      </c>
      <c r="E94" s="151">
        <v>124000</v>
      </c>
      <c r="F94" s="148"/>
      <c r="G94" s="147"/>
    </row>
    <row r="95" spans="1:7" ht="25.5">
      <c r="A95" s="150" t="s">
        <v>85</v>
      </c>
      <c r="B95" s="150">
        <v>0</v>
      </c>
      <c r="C95" s="151">
        <v>19360</v>
      </c>
      <c r="D95" s="151">
        <v>1100</v>
      </c>
      <c r="E95" s="151">
        <v>1100</v>
      </c>
      <c r="F95" s="148"/>
      <c r="G95" s="147"/>
    </row>
    <row r="96" spans="1:7">
      <c r="A96" s="150" t="s">
        <v>86</v>
      </c>
      <c r="B96" s="150">
        <v>524</v>
      </c>
      <c r="C96" s="150">
        <v>90.8</v>
      </c>
      <c r="D96" s="151">
        <v>1697.6</v>
      </c>
      <c r="E96" s="151">
        <v>5576.6</v>
      </c>
      <c r="F96" s="148"/>
      <c r="G96" s="147"/>
    </row>
    <row r="97" spans="1:9">
      <c r="A97" s="150" t="s">
        <v>11</v>
      </c>
      <c r="B97" s="150">
        <v>0</v>
      </c>
      <c r="C97" s="150">
        <v>0</v>
      </c>
      <c r="D97" s="151">
        <v>4055</v>
      </c>
      <c r="E97" s="151">
        <v>2966</v>
      </c>
      <c r="F97" s="148"/>
      <c r="G97" s="147"/>
    </row>
    <row r="98" spans="1:9">
      <c r="A98" s="150" t="s">
        <v>87</v>
      </c>
      <c r="B98" s="150">
        <v>0</v>
      </c>
      <c r="C98" s="151">
        <v>3234</v>
      </c>
      <c r="D98" s="151">
        <v>3234</v>
      </c>
      <c r="E98" s="151">
        <v>3234</v>
      </c>
      <c r="F98" s="148"/>
      <c r="G98" s="147"/>
    </row>
    <row r="99" spans="1:9">
      <c r="A99" s="150" t="s">
        <v>88</v>
      </c>
      <c r="B99" s="150">
        <v>0</v>
      </c>
      <c r="C99" s="150">
        <v>0</v>
      </c>
      <c r="D99" s="151">
        <v>4550</v>
      </c>
      <c r="E99" s="151">
        <v>4550</v>
      </c>
      <c r="F99" s="148"/>
      <c r="G99" s="147"/>
    </row>
    <row r="100" spans="1:9" ht="25.5">
      <c r="A100" s="150" t="s">
        <v>89</v>
      </c>
      <c r="B100" s="150">
        <v>0</v>
      </c>
      <c r="C100" s="150">
        <v>9</v>
      </c>
      <c r="D100" s="151">
        <v>4142</v>
      </c>
      <c r="E100" s="151">
        <v>3788</v>
      </c>
      <c r="F100" s="148"/>
      <c r="G100" s="147"/>
    </row>
    <row r="101" spans="1:9" ht="25.5">
      <c r="A101" s="150" t="s">
        <v>90</v>
      </c>
      <c r="B101" s="150">
        <v>0</v>
      </c>
      <c r="C101" s="150">
        <v>0</v>
      </c>
      <c r="D101" s="151">
        <v>-111000</v>
      </c>
      <c r="E101" s="151">
        <v>-111000</v>
      </c>
      <c r="F101" s="148"/>
      <c r="G101" s="147"/>
    </row>
    <row r="102" spans="1:9">
      <c r="A102" s="150" t="s">
        <v>1182</v>
      </c>
      <c r="B102" s="151">
        <v>101000</v>
      </c>
      <c r="C102" s="151">
        <v>94400</v>
      </c>
      <c r="D102" s="151">
        <v>5473</v>
      </c>
      <c r="E102" s="151">
        <v>5473</v>
      </c>
      <c r="F102" s="148"/>
      <c r="G102" s="147"/>
    </row>
    <row r="103" spans="1:9">
      <c r="A103" s="150" t="s">
        <v>91</v>
      </c>
      <c r="B103" s="151">
        <v>8260</v>
      </c>
      <c r="C103" s="150">
        <v>0</v>
      </c>
      <c r="D103" s="150">
        <v>0</v>
      </c>
      <c r="E103" s="150">
        <v>0</v>
      </c>
      <c r="F103" s="148"/>
      <c r="G103" s="147"/>
    </row>
    <row r="104" spans="1:9">
      <c r="A104" s="142" t="s">
        <v>237</v>
      </c>
      <c r="B104" s="143">
        <f>SUM(B94:B103)</f>
        <v>233784</v>
      </c>
      <c r="C104" s="143">
        <f>SUM(C94:C103)</f>
        <v>241093.8</v>
      </c>
      <c r="D104" s="143">
        <f>SUM(D94:D103)</f>
        <v>37251.600000000006</v>
      </c>
      <c r="E104" s="143">
        <f>SUM(E94:E103)</f>
        <v>39687.600000000006</v>
      </c>
      <c r="F104" s="148"/>
      <c r="G104" s="147"/>
    </row>
    <row r="105" spans="1:9" ht="25.5">
      <c r="A105" s="150" t="s">
        <v>52</v>
      </c>
      <c r="B105" s="151">
        <v>233000</v>
      </c>
      <c r="C105" s="151">
        <v>241000</v>
      </c>
      <c r="D105" s="151">
        <v>37100</v>
      </c>
      <c r="E105" s="151">
        <v>39500</v>
      </c>
      <c r="F105" s="148"/>
      <c r="G105" s="147"/>
    </row>
    <row r="106" spans="1:9" ht="26.25" customHeight="1">
      <c r="A106" s="333" t="s">
        <v>421</v>
      </c>
      <c r="B106" s="333"/>
      <c r="C106" s="333"/>
      <c r="D106" s="333"/>
      <c r="E106" s="333"/>
      <c r="F106" s="148"/>
      <c r="G106" s="147"/>
    </row>
    <row r="107" spans="1:9">
      <c r="A107" s="148"/>
      <c r="B107" s="148"/>
      <c r="C107" s="148"/>
      <c r="D107" s="148"/>
      <c r="E107" s="148"/>
      <c r="F107" s="148"/>
      <c r="G107" s="147"/>
    </row>
    <row r="108" spans="1:9" ht="53.25" customHeight="1">
      <c r="A108" s="331" t="s">
        <v>276</v>
      </c>
      <c r="B108" s="331"/>
      <c r="C108" s="148"/>
      <c r="D108" s="148"/>
      <c r="E108" s="148"/>
      <c r="F108" s="148"/>
      <c r="G108" s="147"/>
    </row>
    <row r="109" spans="1:9" ht="45" customHeight="1">
      <c r="A109" s="150" t="s">
        <v>157</v>
      </c>
      <c r="B109" s="150" t="s">
        <v>423</v>
      </c>
      <c r="C109" s="150" t="s">
        <v>424</v>
      </c>
      <c r="D109" s="150" t="s">
        <v>425</v>
      </c>
      <c r="E109" s="150" t="s">
        <v>426</v>
      </c>
      <c r="F109" s="150" t="s">
        <v>1126</v>
      </c>
      <c r="G109" s="150" t="s">
        <v>427</v>
      </c>
      <c r="H109" s="150" t="s">
        <v>428</v>
      </c>
      <c r="I109" s="150" t="s">
        <v>429</v>
      </c>
    </row>
    <row r="110" spans="1:9">
      <c r="A110" s="150" t="s">
        <v>8</v>
      </c>
      <c r="B110" s="151">
        <v>192000</v>
      </c>
      <c r="C110" s="151">
        <v>124000</v>
      </c>
      <c r="D110" s="151">
        <v>192000</v>
      </c>
      <c r="E110" s="151">
        <v>124000</v>
      </c>
      <c r="F110" s="151">
        <v>192000</v>
      </c>
      <c r="G110" s="151">
        <v>124000</v>
      </c>
      <c r="H110" s="151">
        <v>192000</v>
      </c>
      <c r="I110" s="151">
        <v>124000</v>
      </c>
    </row>
    <row r="111" spans="1:9" ht="25.5">
      <c r="A111" s="150" t="s">
        <v>85</v>
      </c>
      <c r="B111" s="150">
        <v>0</v>
      </c>
      <c r="C111" s="150">
        <v>0</v>
      </c>
      <c r="D111" s="151">
        <v>30000</v>
      </c>
      <c r="E111" s="151">
        <v>19360</v>
      </c>
      <c r="F111" s="151">
        <v>1716</v>
      </c>
      <c r="G111" s="151">
        <v>1100</v>
      </c>
      <c r="H111" s="151">
        <v>1716</v>
      </c>
      <c r="I111" s="151">
        <v>1100</v>
      </c>
    </row>
    <row r="112" spans="1:9">
      <c r="A112" s="150" t="s">
        <v>86</v>
      </c>
      <c r="B112" s="150">
        <v>524</v>
      </c>
      <c r="C112" s="150">
        <v>524</v>
      </c>
      <c r="D112" s="150">
        <v>90.8</v>
      </c>
      <c r="E112" s="150">
        <v>90.8</v>
      </c>
      <c r="F112" s="151">
        <v>1697.6</v>
      </c>
      <c r="G112" s="151">
        <v>1697.6</v>
      </c>
      <c r="H112" s="151">
        <v>5576.6</v>
      </c>
      <c r="I112" s="151">
        <v>5576.6</v>
      </c>
    </row>
    <row r="113" spans="1:17">
      <c r="A113" s="150" t="s">
        <v>11</v>
      </c>
      <c r="B113" s="150">
        <v>0</v>
      </c>
      <c r="C113" s="150">
        <v>0</v>
      </c>
      <c r="D113" s="150">
        <v>0</v>
      </c>
      <c r="E113" s="150">
        <v>0</v>
      </c>
      <c r="F113" s="151">
        <v>4055</v>
      </c>
      <c r="G113" s="151">
        <v>4055</v>
      </c>
      <c r="H113" s="151">
        <v>2966</v>
      </c>
      <c r="I113" s="151">
        <v>2966</v>
      </c>
    </row>
    <row r="114" spans="1:17">
      <c r="A114" s="150" t="s">
        <v>87</v>
      </c>
      <c r="B114" s="150">
        <v>0</v>
      </c>
      <c r="C114" s="150">
        <v>0</v>
      </c>
      <c r="D114" s="151">
        <v>3234</v>
      </c>
      <c r="E114" s="151">
        <v>3234</v>
      </c>
      <c r="F114" s="151">
        <v>3234</v>
      </c>
      <c r="G114" s="151">
        <v>3234</v>
      </c>
      <c r="H114" s="151">
        <v>3234</v>
      </c>
      <c r="I114" s="151">
        <v>3234</v>
      </c>
    </row>
    <row r="115" spans="1:17">
      <c r="A115" s="150" t="s">
        <v>88</v>
      </c>
      <c r="B115" s="150">
        <v>0</v>
      </c>
      <c r="C115" s="150">
        <v>0</v>
      </c>
      <c r="D115" s="150">
        <v>0</v>
      </c>
      <c r="E115" s="150">
        <v>0</v>
      </c>
      <c r="F115" s="151">
        <v>4550</v>
      </c>
      <c r="G115" s="151">
        <v>4550</v>
      </c>
      <c r="H115" s="151">
        <v>4550</v>
      </c>
      <c r="I115" s="151">
        <v>4550</v>
      </c>
    </row>
    <row r="116" spans="1:17" ht="25.5">
      <c r="A116" s="150" t="s">
        <v>89</v>
      </c>
      <c r="B116" s="150">
        <v>0</v>
      </c>
      <c r="C116" s="150">
        <v>0</v>
      </c>
      <c r="D116" s="150">
        <v>9</v>
      </c>
      <c r="E116" s="150">
        <v>9</v>
      </c>
      <c r="F116" s="151">
        <v>4142</v>
      </c>
      <c r="G116" s="151">
        <v>4142</v>
      </c>
      <c r="H116" s="151">
        <v>3788</v>
      </c>
      <c r="I116" s="151">
        <v>3788</v>
      </c>
    </row>
    <row r="117" spans="1:17" ht="25.5">
      <c r="A117" s="150" t="s">
        <v>90</v>
      </c>
      <c r="B117" s="150">
        <v>0</v>
      </c>
      <c r="C117" s="150">
        <v>0</v>
      </c>
      <c r="D117" s="150">
        <v>0</v>
      </c>
      <c r="E117" s="150">
        <v>0</v>
      </c>
      <c r="F117" s="151">
        <v>-111000</v>
      </c>
      <c r="G117" s="151">
        <v>-111000</v>
      </c>
      <c r="H117" s="151">
        <v>-111000</v>
      </c>
      <c r="I117" s="151">
        <v>-111000</v>
      </c>
    </row>
    <row r="118" spans="1:17">
      <c r="A118" s="150" t="s">
        <v>1182</v>
      </c>
      <c r="B118" s="151">
        <v>101000</v>
      </c>
      <c r="C118" s="151">
        <v>101000</v>
      </c>
      <c r="D118" s="151">
        <v>94400</v>
      </c>
      <c r="E118" s="151">
        <v>94400</v>
      </c>
      <c r="F118" s="151">
        <v>5473</v>
      </c>
      <c r="G118" s="151">
        <v>5473</v>
      </c>
      <c r="H118" s="151">
        <v>5473</v>
      </c>
      <c r="I118" s="151">
        <v>5473</v>
      </c>
    </row>
    <row r="119" spans="1:17">
      <c r="A119" s="150" t="s">
        <v>91</v>
      </c>
      <c r="B119" s="151">
        <v>8260</v>
      </c>
      <c r="C119" s="151">
        <v>8260</v>
      </c>
      <c r="D119" s="150">
        <v>0</v>
      </c>
      <c r="E119" s="150">
        <v>0</v>
      </c>
      <c r="F119" s="150">
        <v>0</v>
      </c>
      <c r="G119" s="150">
        <v>0</v>
      </c>
      <c r="H119" s="150">
        <v>0</v>
      </c>
      <c r="I119" s="150">
        <v>0</v>
      </c>
    </row>
    <row r="120" spans="1:17">
      <c r="A120" s="142" t="s">
        <v>646</v>
      </c>
      <c r="B120" s="143">
        <f t="shared" ref="B120:I120" si="0">SUM(B110:B119)</f>
        <v>301784</v>
      </c>
      <c r="C120" s="143">
        <f t="shared" si="0"/>
        <v>233784</v>
      </c>
      <c r="D120" s="143">
        <f t="shared" si="0"/>
        <v>319733.8</v>
      </c>
      <c r="E120" s="143">
        <f t="shared" si="0"/>
        <v>241093.8</v>
      </c>
      <c r="F120" s="143">
        <f t="shared" si="0"/>
        <v>105867.6</v>
      </c>
      <c r="G120" s="143">
        <f t="shared" si="0"/>
        <v>37251.600000000006</v>
      </c>
      <c r="H120" s="143">
        <f t="shared" si="0"/>
        <v>108303.6</v>
      </c>
      <c r="I120" s="143">
        <f t="shared" si="0"/>
        <v>39687.600000000006</v>
      </c>
    </row>
    <row r="121" spans="1:17" ht="25.5">
      <c r="A121" s="150" t="s">
        <v>52</v>
      </c>
      <c r="B121" s="151">
        <v>302000</v>
      </c>
      <c r="C121" s="151">
        <v>233000</v>
      </c>
      <c r="D121" s="151">
        <v>320000</v>
      </c>
      <c r="E121" s="151">
        <v>241000</v>
      </c>
      <c r="F121" s="151">
        <v>106000</v>
      </c>
      <c r="G121" s="151">
        <v>37100</v>
      </c>
      <c r="H121" s="151">
        <v>108000</v>
      </c>
      <c r="I121" s="151">
        <v>39500</v>
      </c>
    </row>
    <row r="122" spans="1:17" ht="63" customHeight="1">
      <c r="A122" s="133"/>
      <c r="B122" s="153"/>
      <c r="C122" s="153"/>
      <c r="D122" s="153"/>
      <c r="E122" s="153"/>
      <c r="F122" s="153"/>
      <c r="G122" s="153"/>
      <c r="H122" s="153"/>
      <c r="I122" s="153"/>
    </row>
    <row r="123" spans="1:17">
      <c r="A123" s="332" t="s">
        <v>277</v>
      </c>
      <c r="B123" s="332"/>
      <c r="C123" s="332"/>
      <c r="D123" s="332"/>
      <c r="E123" s="324"/>
      <c r="F123" s="324"/>
      <c r="G123" s="147"/>
      <c r="H123" s="154"/>
      <c r="I123" s="154"/>
      <c r="J123" s="154"/>
      <c r="K123" s="154"/>
      <c r="L123" s="154"/>
      <c r="M123" s="154"/>
      <c r="N123" s="154"/>
      <c r="O123" s="154"/>
      <c r="P123" s="154"/>
    </row>
    <row r="124" spans="1:17" ht="30.75" customHeight="1">
      <c r="A124" s="150" t="s">
        <v>430</v>
      </c>
      <c r="B124" s="150" t="s">
        <v>423</v>
      </c>
      <c r="C124" s="150" t="s">
        <v>424</v>
      </c>
      <c r="D124" s="150" t="s">
        <v>425</v>
      </c>
      <c r="E124" s="150" t="s">
        <v>426</v>
      </c>
      <c r="F124" s="150" t="s">
        <v>1126</v>
      </c>
      <c r="G124" s="150" t="s">
        <v>427</v>
      </c>
      <c r="H124" s="150" t="s">
        <v>428</v>
      </c>
      <c r="I124" s="150" t="s">
        <v>429</v>
      </c>
      <c r="J124" s="148"/>
      <c r="K124" s="148"/>
      <c r="L124" s="148"/>
      <c r="M124" s="148"/>
      <c r="N124" s="148"/>
      <c r="O124" s="148"/>
      <c r="P124" s="155"/>
      <c r="Q124" s="146"/>
    </row>
    <row r="125" spans="1:17" ht="15.75">
      <c r="A125" s="150" t="s">
        <v>108</v>
      </c>
      <c r="B125" s="150">
        <v>44.4</v>
      </c>
      <c r="C125" s="150">
        <v>27.7</v>
      </c>
      <c r="D125" s="150">
        <v>46.3</v>
      </c>
      <c r="E125" s="150">
        <v>27</v>
      </c>
      <c r="F125" s="150">
        <v>23.1</v>
      </c>
      <c r="G125" s="150">
        <v>6.28</v>
      </c>
      <c r="H125" s="150">
        <v>23.2</v>
      </c>
      <c r="I125" s="150">
        <v>6.34</v>
      </c>
      <c r="J125" s="148"/>
      <c r="K125" s="148"/>
      <c r="L125" s="148"/>
      <c r="M125" s="148"/>
      <c r="N125" s="148"/>
      <c r="O125" s="148"/>
      <c r="P125" s="155"/>
      <c r="Q125" s="146"/>
    </row>
    <row r="126" spans="1:17" ht="25.5">
      <c r="A126" s="150" t="s">
        <v>109</v>
      </c>
      <c r="B126" s="150">
        <v>0.222</v>
      </c>
      <c r="C126" s="150">
        <v>0.17</v>
      </c>
      <c r="D126" s="150">
        <v>0.22600000000000001</v>
      </c>
      <c r="E126" s="150">
        <v>0.16500000000000001</v>
      </c>
      <c r="F126" s="150">
        <v>7.7600000000000002E-2</v>
      </c>
      <c r="G126" s="150">
        <v>2.4400000000000002E-2</v>
      </c>
      <c r="H126" s="150">
        <v>8.1199999999999994E-2</v>
      </c>
      <c r="I126" s="150">
        <v>2.8000000000000001E-2</v>
      </c>
      <c r="J126" s="148"/>
      <c r="K126" s="148"/>
      <c r="L126" s="148"/>
      <c r="M126" s="148"/>
      <c r="N126" s="148"/>
      <c r="O126" s="148"/>
      <c r="P126" s="155"/>
      <c r="Q126" s="146"/>
    </row>
    <row r="127" spans="1:17" ht="25.5">
      <c r="A127" s="150" t="s">
        <v>1188</v>
      </c>
      <c r="B127" s="150">
        <v>352</v>
      </c>
      <c r="C127" s="150">
        <v>325</v>
      </c>
      <c r="D127" s="150">
        <v>379</v>
      </c>
      <c r="E127" s="150">
        <v>347</v>
      </c>
      <c r="F127" s="150">
        <v>65.400000000000006</v>
      </c>
      <c r="G127" s="150">
        <v>37.799999999999997</v>
      </c>
      <c r="H127" s="150">
        <v>67.099999999999994</v>
      </c>
      <c r="I127" s="150">
        <v>39.5</v>
      </c>
      <c r="J127" s="148"/>
      <c r="K127" s="148"/>
      <c r="L127" s="148"/>
      <c r="M127" s="148"/>
      <c r="N127" s="148"/>
      <c r="O127" s="148"/>
      <c r="P127" s="155"/>
      <c r="Q127" s="146"/>
    </row>
    <row r="128" spans="1:17" ht="15.75">
      <c r="A128" s="150" t="s">
        <v>1189</v>
      </c>
      <c r="B128" s="150">
        <v>62.8</v>
      </c>
      <c r="C128" s="150">
        <v>61</v>
      </c>
      <c r="D128" s="150">
        <v>66.400000000000006</v>
      </c>
      <c r="E128" s="150">
        <v>64.3</v>
      </c>
      <c r="F128" s="150">
        <v>10.5</v>
      </c>
      <c r="G128" s="150">
        <v>8.68</v>
      </c>
      <c r="H128" s="150">
        <v>11.1</v>
      </c>
      <c r="I128" s="150">
        <v>9.25</v>
      </c>
      <c r="J128" s="148"/>
      <c r="K128" s="148"/>
      <c r="L128" s="148"/>
      <c r="M128" s="148"/>
      <c r="N128" s="148"/>
      <c r="O128" s="148"/>
      <c r="P128" s="155"/>
      <c r="Q128" s="146"/>
    </row>
    <row r="129" spans="1:17" ht="15.75">
      <c r="A129" s="150" t="s">
        <v>107</v>
      </c>
      <c r="B129" s="150">
        <v>0.80700000000000005</v>
      </c>
      <c r="C129" s="150">
        <v>0.75</v>
      </c>
      <c r="D129" s="150">
        <v>0.78700000000000003</v>
      </c>
      <c r="E129" s="150">
        <v>0.66900000000000004</v>
      </c>
      <c r="F129" s="150">
        <v>0.42799999999999999</v>
      </c>
      <c r="G129" s="150">
        <v>0.32500000000000001</v>
      </c>
      <c r="H129" s="150">
        <v>0.43</v>
      </c>
      <c r="I129" s="150">
        <v>0.32700000000000001</v>
      </c>
      <c r="J129" s="148"/>
      <c r="K129" s="148"/>
      <c r="L129" s="148"/>
      <c r="M129" s="148"/>
      <c r="N129" s="148"/>
      <c r="O129" s="148"/>
      <c r="P129" s="155"/>
      <c r="Q129" s="146"/>
    </row>
    <row r="130" spans="1:17" ht="15.75">
      <c r="A130" s="150" t="s">
        <v>1187</v>
      </c>
      <c r="B130" s="150">
        <v>1.9E-2</v>
      </c>
      <c r="C130" s="150">
        <v>1.5800000000000002E-2</v>
      </c>
      <c r="D130" s="150">
        <v>1.5299999999999999E-2</v>
      </c>
      <c r="E130" s="150">
        <v>0.11600000000000001</v>
      </c>
      <c r="F130" s="150">
        <v>6.1399999999999996E-3</v>
      </c>
      <c r="G130" s="150">
        <v>2.9199999999999999E-3</v>
      </c>
      <c r="H130" s="150">
        <v>6.7000000000000002E-3</v>
      </c>
      <c r="I130" s="150">
        <v>3.5000000000000001E-3</v>
      </c>
      <c r="J130" s="148"/>
      <c r="K130" s="148"/>
      <c r="L130" s="148"/>
      <c r="M130" s="148"/>
      <c r="N130" s="148"/>
      <c r="O130" s="148"/>
      <c r="P130" s="155"/>
      <c r="Q130" s="146"/>
    </row>
    <row r="131" spans="1:17" ht="15.75">
      <c r="A131" s="150" t="s">
        <v>1234</v>
      </c>
      <c r="B131" s="150">
        <v>62.5</v>
      </c>
      <c r="C131" s="150">
        <v>16.899999999999999</v>
      </c>
      <c r="D131" s="150">
        <v>69.3</v>
      </c>
      <c r="E131" s="150">
        <v>16.600000000000001</v>
      </c>
      <c r="F131" s="150">
        <v>49.4</v>
      </c>
      <c r="G131" s="150">
        <v>3.36</v>
      </c>
      <c r="H131" s="150">
        <v>49.5</v>
      </c>
      <c r="I131" s="150">
        <v>3.47</v>
      </c>
      <c r="J131" s="148"/>
      <c r="K131" s="148"/>
      <c r="L131" s="148"/>
      <c r="M131" s="148"/>
      <c r="N131" s="148"/>
      <c r="O131" s="148"/>
      <c r="P131" s="155"/>
      <c r="Q131" s="146"/>
    </row>
    <row r="132" spans="1:17" ht="28.5" customHeight="1">
      <c r="A132" s="150" t="s">
        <v>1124</v>
      </c>
      <c r="B132" s="150">
        <v>7.4</v>
      </c>
      <c r="C132" s="150">
        <v>6.98</v>
      </c>
      <c r="D132" s="150">
        <v>7.57</v>
      </c>
      <c r="E132" s="150">
        <v>7.08</v>
      </c>
      <c r="F132" s="150">
        <v>1.68</v>
      </c>
      <c r="G132" s="150">
        <v>1.25</v>
      </c>
      <c r="H132" s="150">
        <v>1.81</v>
      </c>
      <c r="I132" s="150">
        <v>1.38</v>
      </c>
      <c r="J132" s="148"/>
      <c r="K132" s="148"/>
      <c r="L132" s="148"/>
      <c r="M132" s="148"/>
      <c r="N132" s="148"/>
      <c r="O132" s="148"/>
      <c r="P132" s="155"/>
      <c r="Q132" s="146"/>
    </row>
    <row r="133" spans="1:17" ht="15.75">
      <c r="A133" s="150" t="s">
        <v>1125</v>
      </c>
      <c r="B133" s="150">
        <v>9</v>
      </c>
      <c r="C133" s="150">
        <v>8.8000000000000007</v>
      </c>
      <c r="D133" s="150">
        <v>9.3699999999999992</v>
      </c>
      <c r="E133" s="150">
        <v>8.7899999999999991</v>
      </c>
      <c r="F133" s="150">
        <v>1.62</v>
      </c>
      <c r="G133" s="150">
        <v>1.1200000000000001</v>
      </c>
      <c r="H133" s="150">
        <v>1.7</v>
      </c>
      <c r="I133" s="150">
        <v>1.19</v>
      </c>
      <c r="J133" s="148"/>
      <c r="K133" s="148"/>
      <c r="L133" s="148"/>
      <c r="M133" s="148"/>
      <c r="N133" s="148"/>
      <c r="O133" s="148"/>
      <c r="P133" s="155"/>
      <c r="Q133" s="146"/>
    </row>
    <row r="134" spans="1:17" ht="15.75">
      <c r="A134" s="150" t="s">
        <v>1237</v>
      </c>
      <c r="B134" s="150">
        <v>170</v>
      </c>
      <c r="C134" s="150">
        <v>72.400000000000006</v>
      </c>
      <c r="D134" s="150">
        <v>187</v>
      </c>
      <c r="E134" s="150">
        <v>74.400000000000006</v>
      </c>
      <c r="F134" s="150">
        <v>128</v>
      </c>
      <c r="G134" s="150">
        <v>29.2</v>
      </c>
      <c r="H134" s="150">
        <v>128</v>
      </c>
      <c r="I134" s="150">
        <v>29.2</v>
      </c>
      <c r="J134" s="148"/>
      <c r="K134" s="148"/>
      <c r="L134" s="148"/>
      <c r="M134" s="148"/>
      <c r="N134" s="148"/>
      <c r="O134" s="148"/>
      <c r="P134" s="155"/>
      <c r="Q134" s="146"/>
    </row>
    <row r="135" spans="1:17" ht="15.75">
      <c r="A135" s="150" t="s">
        <v>1238</v>
      </c>
      <c r="B135" s="150">
        <v>259</v>
      </c>
      <c r="C135" s="150">
        <v>201</v>
      </c>
      <c r="D135" s="150">
        <v>255</v>
      </c>
      <c r="E135" s="150">
        <v>187</v>
      </c>
      <c r="F135" s="150">
        <v>97.4</v>
      </c>
      <c r="G135" s="150">
        <v>38.6</v>
      </c>
      <c r="H135" s="150">
        <v>104</v>
      </c>
      <c r="I135" s="150">
        <v>45.1</v>
      </c>
      <c r="J135" s="148"/>
      <c r="K135" s="148"/>
      <c r="L135" s="148"/>
      <c r="M135" s="148"/>
      <c r="N135" s="148"/>
      <c r="O135" s="148"/>
      <c r="P135" s="155"/>
      <c r="Q135" s="146"/>
    </row>
    <row r="136" spans="1:17" ht="15.75">
      <c r="A136" s="148"/>
      <c r="B136" s="148"/>
      <c r="C136" s="148"/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  <c r="O136" s="148"/>
      <c r="P136" s="155"/>
      <c r="Q136" s="146"/>
    </row>
    <row r="137" spans="1:17" ht="30.75" customHeight="1">
      <c r="A137" s="332" t="s">
        <v>278</v>
      </c>
      <c r="B137" s="332"/>
      <c r="C137" s="332"/>
      <c r="D137" s="332"/>
      <c r="E137" s="324"/>
      <c r="F137" s="324"/>
      <c r="G137" s="147"/>
      <c r="H137" s="154"/>
      <c r="I137" s="154"/>
      <c r="J137" s="149"/>
      <c r="K137" s="149"/>
      <c r="L137" s="149"/>
      <c r="M137" s="149"/>
      <c r="N137" s="149"/>
      <c r="O137" s="149"/>
      <c r="P137" s="146"/>
      <c r="Q137" s="146"/>
    </row>
    <row r="138" spans="1:17" ht="38.25">
      <c r="A138" s="150" t="s">
        <v>430</v>
      </c>
      <c r="B138" s="150" t="s">
        <v>423</v>
      </c>
      <c r="C138" s="150" t="s">
        <v>424</v>
      </c>
      <c r="D138" s="150" t="s">
        <v>425</v>
      </c>
      <c r="E138" s="150" t="s">
        <v>426</v>
      </c>
      <c r="F138" s="150" t="s">
        <v>1126</v>
      </c>
      <c r="G138" s="150" t="s">
        <v>427</v>
      </c>
      <c r="H138" s="150" t="s">
        <v>428</v>
      </c>
      <c r="I138" s="150" t="s">
        <v>429</v>
      </c>
      <c r="J138" s="149"/>
      <c r="K138" s="149"/>
      <c r="L138" s="149"/>
      <c r="M138" s="149"/>
      <c r="N138" s="149"/>
      <c r="O138" s="149"/>
      <c r="P138" s="146"/>
      <c r="Q138" s="146"/>
    </row>
    <row r="139" spans="1:17" ht="15.75">
      <c r="A139" s="150" t="s">
        <v>108</v>
      </c>
      <c r="B139" s="151">
        <v>17800</v>
      </c>
      <c r="C139" s="151">
        <v>11100</v>
      </c>
      <c r="D139" s="151">
        <v>18500</v>
      </c>
      <c r="E139" s="151">
        <v>10800</v>
      </c>
      <c r="F139" s="151">
        <v>9250</v>
      </c>
      <c r="G139" s="151">
        <v>2510</v>
      </c>
      <c r="H139" s="151">
        <v>9280</v>
      </c>
      <c r="I139" s="151">
        <v>2540</v>
      </c>
      <c r="J139" s="149"/>
      <c r="K139" s="149"/>
      <c r="L139" s="149"/>
      <c r="M139" s="149"/>
      <c r="N139" s="149"/>
      <c r="O139" s="149"/>
      <c r="P139" s="146"/>
      <c r="Q139" s="146"/>
    </row>
    <row r="140" spans="1:17" ht="25.5">
      <c r="A140" s="150" t="s">
        <v>109</v>
      </c>
      <c r="B140" s="150">
        <v>88.9</v>
      </c>
      <c r="C140" s="150">
        <v>67.8</v>
      </c>
      <c r="D140" s="150">
        <v>90.3</v>
      </c>
      <c r="E140" s="150">
        <v>65.900000000000006</v>
      </c>
      <c r="F140" s="150">
        <v>31</v>
      </c>
      <c r="G140" s="150">
        <v>9.77</v>
      </c>
      <c r="H140" s="150">
        <v>32.5</v>
      </c>
      <c r="I140" s="150">
        <v>11.2</v>
      </c>
      <c r="J140" s="149"/>
      <c r="K140" s="149"/>
      <c r="L140" s="149"/>
      <c r="M140" s="149"/>
      <c r="N140" s="149"/>
      <c r="O140" s="149"/>
      <c r="P140" s="146"/>
      <c r="Q140" s="146"/>
    </row>
    <row r="141" spans="1:17" ht="25.5">
      <c r="A141" s="150" t="s">
        <v>1188</v>
      </c>
      <c r="B141" s="151">
        <v>141000</v>
      </c>
      <c r="C141" s="151">
        <v>130000</v>
      </c>
      <c r="D141" s="151">
        <v>151000</v>
      </c>
      <c r="E141" s="151">
        <v>139000</v>
      </c>
      <c r="F141" s="151">
        <v>26200</v>
      </c>
      <c r="G141" s="151">
        <v>15100</v>
      </c>
      <c r="H141" s="151">
        <v>26900</v>
      </c>
      <c r="I141" s="151">
        <v>15800</v>
      </c>
      <c r="J141" s="149"/>
      <c r="K141" s="149"/>
      <c r="L141" s="149"/>
      <c r="M141" s="149"/>
      <c r="N141" s="149"/>
      <c r="O141" s="149"/>
      <c r="P141" s="146"/>
      <c r="Q141" s="146"/>
    </row>
    <row r="142" spans="1:17" ht="15.75">
      <c r="A142" s="150" t="s">
        <v>1189</v>
      </c>
      <c r="B142" s="151">
        <v>25100</v>
      </c>
      <c r="C142" s="151">
        <v>24400</v>
      </c>
      <c r="D142" s="151">
        <v>26500</v>
      </c>
      <c r="E142" s="151">
        <v>25700</v>
      </c>
      <c r="F142" s="151">
        <v>4200</v>
      </c>
      <c r="G142" s="151">
        <v>3470</v>
      </c>
      <c r="H142" s="151">
        <v>4430</v>
      </c>
      <c r="I142" s="151">
        <v>3730</v>
      </c>
      <c r="J142" s="149"/>
      <c r="K142" s="149"/>
      <c r="L142" s="149"/>
      <c r="M142" s="149"/>
      <c r="N142" s="149"/>
      <c r="O142" s="149"/>
      <c r="P142" s="146"/>
      <c r="Q142" s="146"/>
    </row>
    <row r="143" spans="1:17" ht="15.75">
      <c r="A143" s="150" t="s">
        <v>107</v>
      </c>
      <c r="B143" s="150">
        <v>323</v>
      </c>
      <c r="C143" s="150">
        <v>282</v>
      </c>
      <c r="D143" s="150">
        <v>315</v>
      </c>
      <c r="E143" s="150">
        <v>268</v>
      </c>
      <c r="F143" s="150">
        <v>171</v>
      </c>
      <c r="G143" s="150">
        <v>130</v>
      </c>
      <c r="H143" s="150">
        <v>172</v>
      </c>
      <c r="I143" s="150">
        <v>131</v>
      </c>
      <c r="J143" s="149"/>
      <c r="K143" s="149"/>
      <c r="L143" s="149"/>
      <c r="M143" s="149"/>
      <c r="N143" s="149"/>
      <c r="O143" s="149"/>
      <c r="P143" s="146"/>
      <c r="Q143" s="146"/>
    </row>
    <row r="144" spans="1:17" ht="15.75">
      <c r="A144" s="150" t="s">
        <v>1187</v>
      </c>
      <c r="B144" s="150">
        <v>7.61</v>
      </c>
      <c r="C144" s="150">
        <v>6.33</v>
      </c>
      <c r="D144" s="150">
        <v>6.12</v>
      </c>
      <c r="E144" s="150">
        <v>4.6500000000000004</v>
      </c>
      <c r="F144" s="150">
        <v>2.46</v>
      </c>
      <c r="G144" s="150">
        <v>1.17</v>
      </c>
      <c r="H144" s="150">
        <v>2.69</v>
      </c>
      <c r="I144" s="150">
        <v>1.4</v>
      </c>
      <c r="J144" s="149"/>
      <c r="K144" s="149"/>
      <c r="L144" s="149"/>
      <c r="M144" s="149"/>
      <c r="N144" s="149"/>
      <c r="O144" s="149"/>
      <c r="P144" s="146"/>
      <c r="Q144" s="146"/>
    </row>
    <row r="145" spans="1:17" ht="15.75">
      <c r="A145" s="150" t="s">
        <v>1234</v>
      </c>
      <c r="B145" s="151">
        <v>25000</v>
      </c>
      <c r="C145" s="151">
        <v>6750</v>
      </c>
      <c r="D145" s="151">
        <v>27700</v>
      </c>
      <c r="E145" s="151">
        <v>6620</v>
      </c>
      <c r="F145" s="151">
        <v>19800</v>
      </c>
      <c r="G145" s="151">
        <v>1340</v>
      </c>
      <c r="H145" s="151">
        <v>19800</v>
      </c>
      <c r="I145" s="151">
        <v>1390</v>
      </c>
      <c r="J145" s="149"/>
      <c r="K145" s="149"/>
      <c r="L145" s="149"/>
      <c r="M145" s="149"/>
      <c r="N145" s="149"/>
      <c r="O145" s="149"/>
      <c r="P145" s="146"/>
      <c r="Q145" s="146"/>
    </row>
    <row r="146" spans="1:17" ht="25.5">
      <c r="A146" s="150" t="s">
        <v>1124</v>
      </c>
      <c r="B146" s="151">
        <v>2960</v>
      </c>
      <c r="C146" s="151">
        <v>2790</v>
      </c>
      <c r="D146" s="151">
        <v>3030</v>
      </c>
      <c r="E146" s="151">
        <v>2830</v>
      </c>
      <c r="F146" s="150">
        <v>671</v>
      </c>
      <c r="G146" s="150">
        <v>499</v>
      </c>
      <c r="H146" s="150">
        <v>725</v>
      </c>
      <c r="I146" s="150">
        <v>553</v>
      </c>
      <c r="J146" s="149"/>
      <c r="K146" s="149"/>
      <c r="L146" s="149"/>
      <c r="M146" s="149"/>
      <c r="N146" s="149"/>
      <c r="O146" s="149"/>
      <c r="P146" s="146"/>
      <c r="Q146" s="146"/>
    </row>
    <row r="147" spans="1:17" ht="15.75">
      <c r="A147" s="150" t="s">
        <v>1125</v>
      </c>
      <c r="B147" s="151">
        <v>3600</v>
      </c>
      <c r="C147" s="151">
        <v>3400</v>
      </c>
      <c r="D147" s="151">
        <v>3750</v>
      </c>
      <c r="E147" s="151">
        <v>3520</v>
      </c>
      <c r="F147" s="150">
        <v>650</v>
      </c>
      <c r="G147" s="150">
        <v>448</v>
      </c>
      <c r="H147" s="150">
        <v>678</v>
      </c>
      <c r="I147" s="150">
        <v>476</v>
      </c>
      <c r="J147" s="149"/>
      <c r="K147" s="149"/>
      <c r="L147" s="149"/>
      <c r="M147" s="149"/>
      <c r="N147" s="149"/>
      <c r="O147" s="149"/>
      <c r="P147" s="146"/>
      <c r="Q147" s="146"/>
    </row>
    <row r="148" spans="1:17" ht="15.75">
      <c r="A148" s="150" t="s">
        <v>1237</v>
      </c>
      <c r="B148" s="151">
        <v>34000</v>
      </c>
      <c r="C148" s="151">
        <v>14500</v>
      </c>
      <c r="D148" s="151">
        <v>37500</v>
      </c>
      <c r="E148" s="151">
        <v>14900</v>
      </c>
      <c r="F148" s="151">
        <v>25500</v>
      </c>
      <c r="G148" s="151">
        <v>5830</v>
      </c>
      <c r="H148" s="151">
        <v>25500</v>
      </c>
      <c r="I148" s="151">
        <v>5850</v>
      </c>
      <c r="J148" s="149"/>
      <c r="K148" s="149"/>
      <c r="L148" s="149"/>
      <c r="M148" s="149"/>
      <c r="N148" s="149"/>
      <c r="O148" s="149"/>
      <c r="P148" s="146"/>
      <c r="Q148" s="146"/>
    </row>
    <row r="149" spans="1:17" ht="15.75">
      <c r="A149" s="150" t="s">
        <v>1238</v>
      </c>
      <c r="B149" s="151">
        <v>51800</v>
      </c>
      <c r="C149" s="151">
        <v>40100</v>
      </c>
      <c r="D149" s="151">
        <v>51000</v>
      </c>
      <c r="E149" s="151">
        <v>37500</v>
      </c>
      <c r="F149" s="151">
        <v>19500</v>
      </c>
      <c r="G149" s="151">
        <v>7720</v>
      </c>
      <c r="H149" s="151">
        <v>20800</v>
      </c>
      <c r="I149" s="151">
        <v>9020</v>
      </c>
      <c r="J149" s="149"/>
      <c r="K149" s="149"/>
      <c r="L149" s="149"/>
      <c r="M149" s="149"/>
      <c r="N149" s="149"/>
      <c r="O149" s="149"/>
      <c r="P149" s="146"/>
      <c r="Q149" s="146"/>
    </row>
    <row r="150" spans="1:17" ht="15.75">
      <c r="A150" s="142" t="s">
        <v>646</v>
      </c>
      <c r="B150" s="143">
        <f t="shared" ref="B150:I150" si="1">SUM(B139:B149)</f>
        <v>301679.51</v>
      </c>
      <c r="C150" s="143">
        <f t="shared" si="1"/>
        <v>233396.12999999998</v>
      </c>
      <c r="D150" s="143">
        <f t="shared" si="1"/>
        <v>319391.42</v>
      </c>
      <c r="E150" s="143">
        <f t="shared" si="1"/>
        <v>241208.55</v>
      </c>
      <c r="F150" s="143">
        <f t="shared" si="1"/>
        <v>105975.45999999999</v>
      </c>
      <c r="G150" s="143">
        <f t="shared" si="1"/>
        <v>37057.94</v>
      </c>
      <c r="H150" s="143">
        <f t="shared" si="1"/>
        <v>108320.19</v>
      </c>
      <c r="I150" s="143">
        <f t="shared" si="1"/>
        <v>39502.600000000006</v>
      </c>
      <c r="J150" s="149"/>
      <c r="K150" s="149"/>
      <c r="L150" s="149"/>
      <c r="M150" s="149"/>
      <c r="N150" s="149"/>
      <c r="O150" s="149"/>
      <c r="P150" s="146"/>
      <c r="Q150" s="146"/>
    </row>
    <row r="151" spans="1:17" ht="25.5">
      <c r="A151" s="150" t="s">
        <v>52</v>
      </c>
      <c r="B151" s="151">
        <v>302000</v>
      </c>
      <c r="C151" s="151">
        <v>233000</v>
      </c>
      <c r="D151" s="151">
        <v>320000</v>
      </c>
      <c r="E151" s="151">
        <v>241000</v>
      </c>
      <c r="F151" s="151">
        <v>106000</v>
      </c>
      <c r="G151" s="151">
        <v>37100</v>
      </c>
      <c r="H151" s="151">
        <v>108000</v>
      </c>
      <c r="I151" s="151">
        <v>39500</v>
      </c>
      <c r="J151" s="146"/>
      <c r="K151" s="146"/>
      <c r="L151" s="146"/>
      <c r="M151" s="146"/>
      <c r="N151" s="146"/>
      <c r="O151" s="146"/>
      <c r="P151" s="146"/>
      <c r="Q151" s="146"/>
    </row>
    <row r="152" spans="1:17" ht="15.75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</row>
    <row r="153" spans="1:17" ht="15.75">
      <c r="A153" s="146" t="s">
        <v>95</v>
      </c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</row>
    <row r="154" spans="1:17" ht="38.25">
      <c r="A154" s="150" t="s">
        <v>430</v>
      </c>
      <c r="B154" s="150" t="s">
        <v>423</v>
      </c>
      <c r="C154" s="150" t="s">
        <v>424</v>
      </c>
      <c r="D154" s="150" t="s">
        <v>425</v>
      </c>
      <c r="E154" s="150" t="s">
        <v>426</v>
      </c>
      <c r="F154" s="150" t="s">
        <v>1126</v>
      </c>
      <c r="G154" s="150" t="s">
        <v>427</v>
      </c>
      <c r="H154" s="150" t="s">
        <v>428</v>
      </c>
      <c r="I154" s="150" t="s">
        <v>429</v>
      </c>
      <c r="J154" s="146"/>
      <c r="K154" s="146"/>
      <c r="L154" s="146"/>
      <c r="M154" s="146"/>
      <c r="N154" s="146"/>
      <c r="O154" s="146"/>
      <c r="P154" s="146"/>
      <c r="Q154" s="146"/>
    </row>
    <row r="155" spans="1:17" ht="15.75">
      <c r="A155" s="150" t="s">
        <v>108</v>
      </c>
      <c r="B155" s="151">
        <f>(1000/3)*B125</f>
        <v>14799.999999999998</v>
      </c>
      <c r="C155" s="151">
        <f t="shared" ref="C155:I155" si="2">(1000/3)*C125</f>
        <v>9233.3333333333321</v>
      </c>
      <c r="D155" s="151">
        <f t="shared" si="2"/>
        <v>15433.333333333332</v>
      </c>
      <c r="E155" s="151">
        <f t="shared" si="2"/>
        <v>9000</v>
      </c>
      <c r="F155" s="151">
        <f t="shared" si="2"/>
        <v>7700</v>
      </c>
      <c r="G155" s="151">
        <f t="shared" si="2"/>
        <v>2093.3333333333335</v>
      </c>
      <c r="H155" s="151">
        <f t="shared" si="2"/>
        <v>7733.333333333333</v>
      </c>
      <c r="I155" s="151">
        <f t="shared" si="2"/>
        <v>2113.333333333333</v>
      </c>
      <c r="J155" s="146"/>
      <c r="K155" s="146"/>
      <c r="L155" s="146"/>
      <c r="M155" s="146"/>
      <c r="N155" s="146"/>
      <c r="O155" s="146"/>
      <c r="P155" s="146"/>
      <c r="Q155" s="146"/>
    </row>
    <row r="156" spans="1:17" ht="25.5">
      <c r="A156" s="150" t="s">
        <v>109</v>
      </c>
      <c r="B156" s="151">
        <f t="shared" ref="B156:I165" si="3">(1000/3)*B126</f>
        <v>74</v>
      </c>
      <c r="C156" s="151">
        <f t="shared" si="3"/>
        <v>56.666666666666664</v>
      </c>
      <c r="D156" s="151">
        <f t="shared" si="3"/>
        <v>75.333333333333329</v>
      </c>
      <c r="E156" s="151">
        <f t="shared" si="3"/>
        <v>55</v>
      </c>
      <c r="F156" s="151">
        <f t="shared" si="3"/>
        <v>25.866666666666667</v>
      </c>
      <c r="G156" s="151">
        <f t="shared" si="3"/>
        <v>8.1333333333333329</v>
      </c>
      <c r="H156" s="151">
        <f t="shared" si="3"/>
        <v>27.066666666666663</v>
      </c>
      <c r="I156" s="151">
        <f t="shared" si="3"/>
        <v>9.3333333333333321</v>
      </c>
      <c r="J156" s="146"/>
      <c r="K156" s="146"/>
      <c r="L156" s="146"/>
      <c r="M156" s="146"/>
      <c r="N156" s="146"/>
      <c r="O156" s="146"/>
      <c r="P156" s="146"/>
      <c r="Q156" s="146"/>
    </row>
    <row r="157" spans="1:17" ht="25.5">
      <c r="A157" s="150" t="s">
        <v>1188</v>
      </c>
      <c r="B157" s="151">
        <f t="shared" si="3"/>
        <v>117333.33333333333</v>
      </c>
      <c r="C157" s="151">
        <f t="shared" si="3"/>
        <v>108333.33333333333</v>
      </c>
      <c r="D157" s="151">
        <f t="shared" si="3"/>
        <v>126333.33333333333</v>
      </c>
      <c r="E157" s="151">
        <f t="shared" si="3"/>
        <v>115666.66666666666</v>
      </c>
      <c r="F157" s="151">
        <f t="shared" si="3"/>
        <v>21800</v>
      </c>
      <c r="G157" s="151">
        <f t="shared" si="3"/>
        <v>12599.999999999998</v>
      </c>
      <c r="H157" s="151">
        <f t="shared" si="3"/>
        <v>22366.666666666664</v>
      </c>
      <c r="I157" s="151">
        <f t="shared" si="3"/>
        <v>13166.666666666666</v>
      </c>
    </row>
    <row r="158" spans="1:17">
      <c r="A158" s="150" t="s">
        <v>1189</v>
      </c>
      <c r="B158" s="151">
        <f t="shared" si="3"/>
        <v>20933.333333333332</v>
      </c>
      <c r="C158" s="151">
        <f t="shared" si="3"/>
        <v>20333.333333333332</v>
      </c>
      <c r="D158" s="151">
        <f t="shared" si="3"/>
        <v>22133.333333333336</v>
      </c>
      <c r="E158" s="151">
        <f t="shared" si="3"/>
        <v>21433.333333333332</v>
      </c>
      <c r="F158" s="151">
        <f t="shared" si="3"/>
        <v>3500</v>
      </c>
      <c r="G158" s="151">
        <f t="shared" si="3"/>
        <v>2893.333333333333</v>
      </c>
      <c r="H158" s="151">
        <f t="shared" si="3"/>
        <v>3699.9999999999995</v>
      </c>
      <c r="I158" s="151">
        <f t="shared" si="3"/>
        <v>3083.333333333333</v>
      </c>
    </row>
    <row r="159" spans="1:17">
      <c r="A159" s="150" t="s">
        <v>107</v>
      </c>
      <c r="B159" s="151">
        <f t="shared" si="3"/>
        <v>269</v>
      </c>
      <c r="C159" s="151">
        <f t="shared" si="3"/>
        <v>250</v>
      </c>
      <c r="D159" s="151">
        <f t="shared" si="3"/>
        <v>262.33333333333331</v>
      </c>
      <c r="E159" s="151">
        <f t="shared" si="3"/>
        <v>223</v>
      </c>
      <c r="F159" s="151">
        <f t="shared" si="3"/>
        <v>142.66666666666666</v>
      </c>
      <c r="G159" s="151">
        <f t="shared" si="3"/>
        <v>108.33333333333333</v>
      </c>
      <c r="H159" s="151">
        <f t="shared" si="3"/>
        <v>143.33333333333331</v>
      </c>
      <c r="I159" s="151">
        <f t="shared" si="3"/>
        <v>109</v>
      </c>
    </row>
    <row r="160" spans="1:17">
      <c r="A160" s="150" t="s">
        <v>1187</v>
      </c>
      <c r="B160" s="151">
        <f t="shared" si="3"/>
        <v>6.333333333333333</v>
      </c>
      <c r="C160" s="151">
        <f t="shared" si="3"/>
        <v>5.2666666666666666</v>
      </c>
      <c r="D160" s="151">
        <f t="shared" si="3"/>
        <v>5.0999999999999996</v>
      </c>
      <c r="E160" s="151">
        <f t="shared" si="3"/>
        <v>38.666666666666664</v>
      </c>
      <c r="F160" s="151">
        <f t="shared" si="3"/>
        <v>2.0466666666666664</v>
      </c>
      <c r="G160" s="151">
        <f t="shared" si="3"/>
        <v>0.97333333333333327</v>
      </c>
      <c r="H160" s="151">
        <f t="shared" si="3"/>
        <v>2.2333333333333334</v>
      </c>
      <c r="I160" s="151">
        <f t="shared" si="3"/>
        <v>1.1666666666666665</v>
      </c>
    </row>
    <row r="161" spans="1:9">
      <c r="A161" s="150" t="s">
        <v>1234</v>
      </c>
      <c r="B161" s="151">
        <f t="shared" si="3"/>
        <v>20833.333333333332</v>
      </c>
      <c r="C161" s="151">
        <f t="shared" si="3"/>
        <v>5633.3333333333321</v>
      </c>
      <c r="D161" s="151">
        <f t="shared" si="3"/>
        <v>23099.999999999996</v>
      </c>
      <c r="E161" s="151">
        <f t="shared" si="3"/>
        <v>5533.3333333333339</v>
      </c>
      <c r="F161" s="151">
        <f t="shared" si="3"/>
        <v>16466.666666666664</v>
      </c>
      <c r="G161" s="151">
        <f t="shared" si="3"/>
        <v>1120</v>
      </c>
      <c r="H161" s="151">
        <f t="shared" si="3"/>
        <v>16500</v>
      </c>
      <c r="I161" s="151">
        <f t="shared" si="3"/>
        <v>1156.6666666666667</v>
      </c>
    </row>
    <row r="162" spans="1:9" ht="25.5">
      <c r="A162" s="150" t="s">
        <v>1124</v>
      </c>
      <c r="B162" s="151">
        <f t="shared" si="3"/>
        <v>2466.6666666666665</v>
      </c>
      <c r="C162" s="151">
        <f t="shared" si="3"/>
        <v>2326.6666666666665</v>
      </c>
      <c r="D162" s="151">
        <f t="shared" si="3"/>
        <v>2523.3333333333335</v>
      </c>
      <c r="E162" s="151">
        <f t="shared" si="3"/>
        <v>2360</v>
      </c>
      <c r="F162" s="151">
        <f t="shared" si="3"/>
        <v>560</v>
      </c>
      <c r="G162" s="151">
        <f t="shared" si="3"/>
        <v>416.66666666666663</v>
      </c>
      <c r="H162" s="151">
        <f t="shared" si="3"/>
        <v>603.33333333333337</v>
      </c>
      <c r="I162" s="151">
        <f t="shared" si="3"/>
        <v>459.99999999999994</v>
      </c>
    </row>
    <row r="163" spans="1:9">
      <c r="A163" s="150" t="s">
        <v>1125</v>
      </c>
      <c r="B163" s="151">
        <f t="shared" si="3"/>
        <v>3000</v>
      </c>
      <c r="C163" s="151">
        <f t="shared" si="3"/>
        <v>2933.3333333333335</v>
      </c>
      <c r="D163" s="151">
        <f t="shared" si="3"/>
        <v>3123.333333333333</v>
      </c>
      <c r="E163" s="151">
        <f t="shared" si="3"/>
        <v>2929.9999999999995</v>
      </c>
      <c r="F163" s="151">
        <f t="shared" si="3"/>
        <v>540</v>
      </c>
      <c r="G163" s="151">
        <f t="shared" si="3"/>
        <v>373.33333333333337</v>
      </c>
      <c r="H163" s="151">
        <f t="shared" si="3"/>
        <v>566.66666666666663</v>
      </c>
      <c r="I163" s="151">
        <f t="shared" si="3"/>
        <v>396.66666666666663</v>
      </c>
    </row>
    <row r="164" spans="1:9">
      <c r="A164" s="150" t="s">
        <v>1237</v>
      </c>
      <c r="B164" s="151">
        <f t="shared" si="3"/>
        <v>56666.666666666664</v>
      </c>
      <c r="C164" s="151">
        <f t="shared" si="3"/>
        <v>24133.333333333332</v>
      </c>
      <c r="D164" s="151">
        <f t="shared" si="3"/>
        <v>62333.333333333328</v>
      </c>
      <c r="E164" s="151">
        <f t="shared" si="3"/>
        <v>24800</v>
      </c>
      <c r="F164" s="151">
        <f t="shared" si="3"/>
        <v>42666.666666666664</v>
      </c>
      <c r="G164" s="151">
        <f t="shared" si="3"/>
        <v>9733.3333333333321</v>
      </c>
      <c r="H164" s="151">
        <f t="shared" si="3"/>
        <v>42666.666666666664</v>
      </c>
      <c r="I164" s="151">
        <f t="shared" si="3"/>
        <v>9733.3333333333321</v>
      </c>
    </row>
    <row r="165" spans="1:9">
      <c r="A165" s="150" t="s">
        <v>1238</v>
      </c>
      <c r="B165" s="151">
        <f t="shared" si="3"/>
        <v>86333.333333333328</v>
      </c>
      <c r="C165" s="151">
        <f t="shared" si="3"/>
        <v>67000</v>
      </c>
      <c r="D165" s="151">
        <f t="shared" si="3"/>
        <v>85000</v>
      </c>
      <c r="E165" s="151">
        <f t="shared" si="3"/>
        <v>62333.333333333328</v>
      </c>
      <c r="F165" s="151">
        <f t="shared" si="3"/>
        <v>32466.666666666668</v>
      </c>
      <c r="G165" s="151">
        <f t="shared" si="3"/>
        <v>12866.666666666666</v>
      </c>
      <c r="H165" s="151">
        <f t="shared" si="3"/>
        <v>34666.666666666664</v>
      </c>
      <c r="I165" s="151">
        <f t="shared" si="3"/>
        <v>15033.333333333332</v>
      </c>
    </row>
    <row r="166" spans="1:9">
      <c r="A166" s="142" t="s">
        <v>646</v>
      </c>
      <c r="B166" s="143">
        <f t="shared" ref="B166:I166" si="4">SUM(B155:B165)</f>
        <v>322716</v>
      </c>
      <c r="C166" s="143">
        <f t="shared" si="4"/>
        <v>240238.6</v>
      </c>
      <c r="D166" s="143">
        <f t="shared" si="4"/>
        <v>340322.76666666672</v>
      </c>
      <c r="E166" s="143">
        <f t="shared" si="4"/>
        <v>244373.33333333331</v>
      </c>
      <c r="F166" s="143">
        <f t="shared" si="4"/>
        <v>125870.58</v>
      </c>
      <c r="G166" s="143">
        <f t="shared" si="4"/>
        <v>42214.106666666659</v>
      </c>
      <c r="H166" s="143">
        <f t="shared" si="4"/>
        <v>128975.96666666665</v>
      </c>
      <c r="I166" s="143">
        <f t="shared" si="4"/>
        <v>45262.833333333328</v>
      </c>
    </row>
    <row r="167" spans="1:9" ht="25.5">
      <c r="A167" s="150" t="s">
        <v>52</v>
      </c>
      <c r="B167" s="151">
        <v>302000</v>
      </c>
      <c r="C167" s="151">
        <v>233000</v>
      </c>
      <c r="D167" s="151">
        <v>320000</v>
      </c>
      <c r="E167" s="151">
        <v>241000</v>
      </c>
      <c r="F167" s="151">
        <v>106000</v>
      </c>
      <c r="G167" s="151">
        <v>37100</v>
      </c>
      <c r="H167" s="151">
        <v>108000</v>
      </c>
      <c r="I167" s="151">
        <v>39500</v>
      </c>
    </row>
    <row r="168" spans="1:9" ht="38.25">
      <c r="A168" s="150" t="s">
        <v>430</v>
      </c>
      <c r="B168" s="150" t="s">
        <v>423</v>
      </c>
      <c r="C168" s="150" t="s">
        <v>424</v>
      </c>
      <c r="D168" s="150" t="s">
        <v>425</v>
      </c>
      <c r="E168" s="150" t="s">
        <v>426</v>
      </c>
      <c r="F168" s="150" t="s">
        <v>1126</v>
      </c>
      <c r="G168" s="150" t="s">
        <v>427</v>
      </c>
      <c r="H168" s="150" t="s">
        <v>428</v>
      </c>
      <c r="I168" s="150" t="s">
        <v>429</v>
      </c>
    </row>
    <row r="169" spans="1:9" ht="30.75" customHeight="1">
      <c r="A169" s="156" t="s">
        <v>97</v>
      </c>
      <c r="B169" s="157">
        <f t="shared" ref="B169:I169" si="5">100*((B166-B167)/B167)</f>
        <v>6.8596026490066224</v>
      </c>
      <c r="C169" s="157">
        <f t="shared" si="5"/>
        <v>3.1066952789699598</v>
      </c>
      <c r="D169" s="157">
        <f t="shared" si="5"/>
        <v>6.3508645833333501</v>
      </c>
      <c r="E169" s="157">
        <f t="shared" si="5"/>
        <v>1.3997233748271012</v>
      </c>
      <c r="F169" s="157">
        <f t="shared" si="5"/>
        <v>18.745830188679246</v>
      </c>
      <c r="G169" s="157">
        <f t="shared" si="5"/>
        <v>13.784654088050294</v>
      </c>
      <c r="H169" s="157">
        <f t="shared" si="5"/>
        <v>19.422191358024669</v>
      </c>
      <c r="I169" s="157">
        <f t="shared" si="5"/>
        <v>14.589451476793236</v>
      </c>
    </row>
    <row r="170" spans="1:9" ht="38.25">
      <c r="A170" s="150" t="s">
        <v>430</v>
      </c>
      <c r="B170" s="150" t="s">
        <v>423</v>
      </c>
      <c r="C170" s="150" t="s">
        <v>424</v>
      </c>
      <c r="D170" s="150" t="s">
        <v>425</v>
      </c>
      <c r="E170" s="150" t="s">
        <v>426</v>
      </c>
      <c r="F170" s="150" t="s">
        <v>1126</v>
      </c>
      <c r="G170" s="150" t="s">
        <v>427</v>
      </c>
      <c r="H170" s="150" t="s">
        <v>428</v>
      </c>
      <c r="I170" s="150" t="s">
        <v>429</v>
      </c>
    </row>
    <row r="171" spans="1:9">
      <c r="A171" s="158" t="s">
        <v>96</v>
      </c>
      <c r="B171" s="159">
        <f>(B166-B167)</f>
        <v>20716</v>
      </c>
      <c r="C171" s="159">
        <f t="shared" ref="C171:I171" si="6">(C166-C167)</f>
        <v>7238.6000000000058</v>
      </c>
      <c r="D171" s="159">
        <f t="shared" si="6"/>
        <v>20322.766666666721</v>
      </c>
      <c r="E171" s="159">
        <f t="shared" si="6"/>
        <v>3373.3333333333139</v>
      </c>
      <c r="F171" s="159">
        <f t="shared" si="6"/>
        <v>19870.580000000002</v>
      </c>
      <c r="G171" s="159">
        <f t="shared" si="6"/>
        <v>5114.1066666666593</v>
      </c>
      <c r="H171" s="159">
        <f t="shared" si="6"/>
        <v>20975.966666666645</v>
      </c>
      <c r="I171" s="159">
        <f t="shared" si="6"/>
        <v>5762.8333333333285</v>
      </c>
    </row>
    <row r="172" spans="1:9">
      <c r="A172" s="152"/>
      <c r="B172" s="160"/>
      <c r="C172" s="160"/>
      <c r="D172" s="160"/>
      <c r="E172" s="160"/>
      <c r="F172" s="160"/>
      <c r="G172" s="160"/>
      <c r="H172" s="160"/>
      <c r="I172" s="160"/>
    </row>
    <row r="173" spans="1:9">
      <c r="A173" s="327" t="s">
        <v>100</v>
      </c>
      <c r="B173" s="328"/>
      <c r="C173" s="328"/>
      <c r="D173" s="328"/>
      <c r="E173" s="328"/>
    </row>
    <row r="174" spans="1:9" ht="25.5">
      <c r="A174" s="161"/>
      <c r="B174" s="150" t="s">
        <v>92</v>
      </c>
      <c r="C174" s="150" t="s">
        <v>98</v>
      </c>
      <c r="D174" s="150" t="s">
        <v>99</v>
      </c>
      <c r="E174" s="150" t="s">
        <v>94</v>
      </c>
    </row>
    <row r="175" spans="1:9" ht="38.25">
      <c r="A175" s="150" t="s">
        <v>1217</v>
      </c>
      <c r="B175" s="151">
        <v>233000</v>
      </c>
      <c r="C175" s="151">
        <v>241000</v>
      </c>
      <c r="D175" s="151">
        <v>37100</v>
      </c>
      <c r="E175" s="151">
        <v>39500</v>
      </c>
    </row>
    <row r="176" spans="1:9" ht="25.5">
      <c r="A176" s="150" t="s">
        <v>101</v>
      </c>
      <c r="B176" s="143">
        <f>SUM(C155:C165)</f>
        <v>240238.6</v>
      </c>
      <c r="C176" s="143">
        <f>SUM(E155:E165)</f>
        <v>244373.33333333331</v>
      </c>
      <c r="D176" s="143">
        <f>SUM(G155:G165)</f>
        <v>42214.106666666659</v>
      </c>
      <c r="E176" s="143">
        <f>SUM(I155:I165)</f>
        <v>45262.833333333328</v>
      </c>
    </row>
  </sheetData>
  <mergeCells count="9">
    <mergeCell ref="A173:E173"/>
    <mergeCell ref="A33:F33"/>
    <mergeCell ref="A53:E53"/>
    <mergeCell ref="A77:C77"/>
    <mergeCell ref="A92:C92"/>
    <mergeCell ref="A108:B108"/>
    <mergeCell ref="A123:F123"/>
    <mergeCell ref="A137:F137"/>
    <mergeCell ref="A106:E106"/>
  </mergeCells>
  <phoneticPr fontId="5" type="noConversion"/>
  <pageMargins left="0.75" right="0.75" top="1" bottom="1" header="0.5" footer="0.5"/>
  <rowBreaks count="5" manualBreakCount="5">
    <brk id="32" max="16383" man="1"/>
    <brk id="52" max="16383" man="1"/>
    <brk id="76" max="16383" man="1"/>
    <brk id="122" max="16383" man="1"/>
    <brk id="152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42"/>
  <sheetViews>
    <sheetView topLeftCell="A54" zoomScaleNormal="60" zoomScalePageLayoutView="60" workbookViewId="0">
      <selection activeCell="M139" sqref="M139"/>
    </sheetView>
  </sheetViews>
  <sheetFormatPr defaultColWidth="8.75" defaultRowHeight="14.25"/>
  <cols>
    <col min="1" max="1" width="11.625" customWidth="1"/>
    <col min="2" max="2" width="9.75" bestFit="1" customWidth="1"/>
    <col min="3" max="3" width="9.75" customWidth="1"/>
    <col min="4" max="4" width="11.375" customWidth="1"/>
  </cols>
  <sheetData>
    <row r="1" spans="1:4">
      <c r="A1" s="165" t="s">
        <v>279</v>
      </c>
    </row>
    <row r="2" spans="1:4" ht="43.5" customHeight="1">
      <c r="A2" s="150" t="s">
        <v>1218</v>
      </c>
      <c r="B2" s="150" t="s">
        <v>1241</v>
      </c>
      <c r="C2" s="150" t="s">
        <v>1263</v>
      </c>
      <c r="D2" s="163" t="s">
        <v>206</v>
      </c>
    </row>
    <row r="3" spans="1:4">
      <c r="A3" s="150" t="s">
        <v>8</v>
      </c>
      <c r="B3" s="151">
        <v>0</v>
      </c>
      <c r="C3" s="151">
        <v>0</v>
      </c>
    </row>
    <row r="4" spans="1:4">
      <c r="A4" s="150" t="s">
        <v>78</v>
      </c>
      <c r="B4" s="151">
        <v>17600</v>
      </c>
      <c r="C4" s="151">
        <v>17600</v>
      </c>
      <c r="D4">
        <v>1</v>
      </c>
    </row>
    <row r="5" spans="1:4" ht="31.5" customHeight="1">
      <c r="A5" s="150" t="s">
        <v>79</v>
      </c>
      <c r="B5" s="151">
        <v>1760</v>
      </c>
      <c r="C5" s="151">
        <v>1760</v>
      </c>
      <c r="D5">
        <v>2</v>
      </c>
    </row>
    <row r="6" spans="1:4">
      <c r="A6" s="162" t="s">
        <v>86</v>
      </c>
      <c r="B6" s="150">
        <v>90.8</v>
      </c>
      <c r="C6" s="150">
        <v>574.5</v>
      </c>
      <c r="D6">
        <v>3</v>
      </c>
    </row>
    <row r="7" spans="1:4">
      <c r="A7" s="150" t="s">
        <v>11</v>
      </c>
      <c r="B7" s="150">
        <v>0</v>
      </c>
      <c r="C7" s="150">
        <v>0</v>
      </c>
    </row>
    <row r="8" spans="1:4">
      <c r="A8" s="150" t="s">
        <v>87</v>
      </c>
      <c r="B8" s="151">
        <v>3230</v>
      </c>
      <c r="C8" s="151">
        <v>3234</v>
      </c>
    </row>
    <row r="9" spans="1:4">
      <c r="A9" s="150" t="s">
        <v>88</v>
      </c>
      <c r="B9" s="150">
        <v>0</v>
      </c>
      <c r="C9" s="150">
        <v>0</v>
      </c>
    </row>
    <row r="10" spans="1:4" ht="25.5">
      <c r="A10" s="150" t="s">
        <v>89</v>
      </c>
      <c r="B10" s="150">
        <v>0</v>
      </c>
      <c r="C10" s="150">
        <v>9</v>
      </c>
    </row>
    <row r="11" spans="1:4" ht="25.5">
      <c r="A11" s="150" t="s">
        <v>90</v>
      </c>
      <c r="B11" s="150">
        <v>0</v>
      </c>
      <c r="C11" s="150">
        <v>0</v>
      </c>
    </row>
    <row r="12" spans="1:4" ht="18" customHeight="1">
      <c r="A12" s="150" t="s">
        <v>1182</v>
      </c>
      <c r="B12" s="151">
        <v>91800</v>
      </c>
      <c r="C12" s="151">
        <v>91800</v>
      </c>
    </row>
    <row r="13" spans="1:4">
      <c r="A13" s="150" t="s">
        <v>1224</v>
      </c>
      <c r="B13" s="151">
        <v>2560</v>
      </c>
      <c r="C13" s="151">
        <v>2560</v>
      </c>
    </row>
    <row r="14" spans="1:4">
      <c r="A14" s="150" t="s">
        <v>91</v>
      </c>
      <c r="B14" s="151">
        <v>0</v>
      </c>
      <c r="C14" s="150">
        <v>0</v>
      </c>
    </row>
    <row r="15" spans="1:4">
      <c r="A15" s="142" t="s">
        <v>646</v>
      </c>
      <c r="B15" s="143">
        <f>SUM(B3:B14)</f>
        <v>117040.8</v>
      </c>
      <c r="C15" s="143">
        <f>SUM(C3:C14)</f>
        <v>117537.5</v>
      </c>
    </row>
    <row r="16" spans="1:4" ht="25.5">
      <c r="A16" s="150" t="s">
        <v>52</v>
      </c>
      <c r="B16" s="151">
        <v>117000</v>
      </c>
      <c r="C16" s="151">
        <v>118000</v>
      </c>
    </row>
    <row r="17" spans="1:8">
      <c r="A17" s="164" t="s">
        <v>206</v>
      </c>
    </row>
    <row r="18" spans="1:8">
      <c r="A18" s="335" t="s">
        <v>102</v>
      </c>
      <c r="B18" s="336"/>
      <c r="C18" s="336"/>
      <c r="D18" s="336"/>
      <c r="E18" s="336"/>
      <c r="F18" s="336"/>
      <c r="G18" s="336"/>
      <c r="H18" s="336"/>
    </row>
    <row r="19" spans="1:8">
      <c r="A19" s="337" t="s">
        <v>1222</v>
      </c>
      <c r="B19" s="337"/>
      <c r="C19" s="337"/>
      <c r="D19" s="337"/>
      <c r="E19" s="337"/>
      <c r="F19" s="337"/>
      <c r="G19" s="337"/>
    </row>
    <row r="20" spans="1:8">
      <c r="A20" s="337" t="s">
        <v>1223</v>
      </c>
      <c r="B20" s="337"/>
      <c r="C20" s="337"/>
      <c r="D20" s="337"/>
      <c r="E20" s="337"/>
      <c r="F20" s="337"/>
      <c r="G20" s="337"/>
    </row>
    <row r="21" spans="1:8">
      <c r="A21" s="337" t="s">
        <v>1240</v>
      </c>
      <c r="B21" s="337"/>
      <c r="C21" s="337"/>
      <c r="D21" s="337"/>
      <c r="E21" s="337"/>
      <c r="F21" s="337"/>
      <c r="G21" s="337"/>
    </row>
    <row r="22" spans="1:8">
      <c r="A22" s="165" t="s">
        <v>280</v>
      </c>
    </row>
    <row r="23" spans="1:8" ht="51">
      <c r="A23" s="150" t="s">
        <v>430</v>
      </c>
      <c r="B23" s="150" t="s">
        <v>1225</v>
      </c>
      <c r="C23" s="150" t="s">
        <v>1263</v>
      </c>
    </row>
    <row r="24" spans="1:8">
      <c r="A24" s="150" t="s">
        <v>108</v>
      </c>
      <c r="B24" s="151">
        <v>19.899999999999999</v>
      </c>
      <c r="C24" s="151">
        <v>19.899999999999999</v>
      </c>
    </row>
    <row r="25" spans="1:8" ht="25.5">
      <c r="A25" s="150" t="s">
        <v>109</v>
      </c>
      <c r="B25" s="151">
        <v>0.109</v>
      </c>
      <c r="C25" s="151">
        <v>0.11</v>
      </c>
    </row>
    <row r="26" spans="1:8" ht="25.5">
      <c r="A26" s="150" t="s">
        <v>1188</v>
      </c>
      <c r="B26" s="151">
        <v>132</v>
      </c>
      <c r="C26" s="151">
        <v>133</v>
      </c>
    </row>
    <row r="27" spans="1:8">
      <c r="A27" s="150" t="s">
        <v>1189</v>
      </c>
      <c r="B27" s="151">
        <v>34.5</v>
      </c>
      <c r="C27" s="151">
        <v>34.6</v>
      </c>
    </row>
    <row r="28" spans="1:8">
      <c r="A28" s="150" t="s">
        <v>107</v>
      </c>
      <c r="B28" s="151">
        <v>0.58899999999999997</v>
      </c>
      <c r="C28" s="151">
        <v>0.59</v>
      </c>
    </row>
    <row r="29" spans="1:8">
      <c r="A29" s="150" t="s">
        <v>1187</v>
      </c>
      <c r="B29" s="151">
        <v>8.4899999999999993E-3</v>
      </c>
      <c r="C29" s="151">
        <v>8.5699999999999995E-3</v>
      </c>
    </row>
    <row r="30" spans="1:8">
      <c r="A30" s="150" t="s">
        <v>1234</v>
      </c>
      <c r="B30" s="151">
        <v>12.7</v>
      </c>
      <c r="C30" s="151">
        <v>12.7</v>
      </c>
    </row>
    <row r="31" spans="1:8" ht="25.5">
      <c r="A31" s="150" t="s">
        <v>1124</v>
      </c>
      <c r="B31" s="151">
        <v>3.96</v>
      </c>
      <c r="C31" s="151">
        <v>4</v>
      </c>
    </row>
    <row r="32" spans="1:8">
      <c r="A32" s="150" t="s">
        <v>1125</v>
      </c>
      <c r="B32" s="151">
        <v>6.45</v>
      </c>
      <c r="C32" s="151">
        <v>6.46</v>
      </c>
    </row>
    <row r="33" spans="1:8">
      <c r="A33" s="150" t="s">
        <v>1237</v>
      </c>
      <c r="B33" s="151">
        <v>42.5</v>
      </c>
      <c r="C33" s="151">
        <v>42.5</v>
      </c>
    </row>
    <row r="34" spans="1:8">
      <c r="A34" s="150" t="s">
        <v>1238</v>
      </c>
      <c r="B34" s="151">
        <v>122</v>
      </c>
      <c r="C34" s="151">
        <v>123</v>
      </c>
    </row>
    <row r="35" spans="1:8" ht="15">
      <c r="A35" s="338" t="s">
        <v>281</v>
      </c>
      <c r="B35" s="339"/>
      <c r="C35" s="339"/>
      <c r="D35" s="339"/>
      <c r="E35" s="339"/>
      <c r="F35" s="339"/>
      <c r="G35" s="339"/>
      <c r="H35" s="339"/>
    </row>
    <row r="36" spans="1:8" ht="51">
      <c r="A36" s="150" t="s">
        <v>430</v>
      </c>
      <c r="B36" s="150" t="s">
        <v>1225</v>
      </c>
      <c r="C36" s="150" t="s">
        <v>1263</v>
      </c>
    </row>
    <row r="37" spans="1:8">
      <c r="A37" s="150" t="s">
        <v>108</v>
      </c>
      <c r="B37" s="151">
        <v>7950</v>
      </c>
      <c r="C37" s="151">
        <v>7950</v>
      </c>
    </row>
    <row r="38" spans="1:8" ht="25.5">
      <c r="A38" s="150" t="s">
        <v>109</v>
      </c>
      <c r="B38" s="151">
        <v>43.5</v>
      </c>
      <c r="C38" s="151">
        <v>43.8</v>
      </c>
    </row>
    <row r="39" spans="1:8" ht="25.5">
      <c r="A39" s="150" t="s">
        <v>1188</v>
      </c>
      <c r="B39" s="151">
        <v>52900</v>
      </c>
      <c r="C39" s="151">
        <v>53000</v>
      </c>
    </row>
    <row r="40" spans="1:8">
      <c r="A40" s="150" t="s">
        <v>1189</v>
      </c>
      <c r="B40" s="151">
        <v>13800</v>
      </c>
      <c r="C40" s="151">
        <v>13800</v>
      </c>
    </row>
    <row r="41" spans="1:8">
      <c r="A41" s="150" t="s">
        <v>107</v>
      </c>
      <c r="B41" s="151">
        <v>236</v>
      </c>
      <c r="C41" s="151">
        <v>236</v>
      </c>
    </row>
    <row r="42" spans="1:8">
      <c r="A42" s="150" t="s">
        <v>1187</v>
      </c>
      <c r="B42" s="151">
        <v>3.43</v>
      </c>
      <c r="C42" s="151">
        <v>3.43</v>
      </c>
    </row>
    <row r="43" spans="1:8">
      <c r="A43" s="150" t="s">
        <v>1234</v>
      </c>
      <c r="B43" s="151">
        <v>5080</v>
      </c>
      <c r="C43" s="151">
        <v>5090</v>
      </c>
    </row>
    <row r="44" spans="1:8" ht="25.5">
      <c r="A44" s="150" t="s">
        <v>1124</v>
      </c>
      <c r="B44" s="151">
        <v>1590</v>
      </c>
      <c r="C44" s="151">
        <v>1600</v>
      </c>
    </row>
    <row r="45" spans="1:8">
      <c r="A45" s="150" t="s">
        <v>1125</v>
      </c>
      <c r="B45" s="151">
        <v>2580</v>
      </c>
      <c r="C45" s="151">
        <v>2590</v>
      </c>
    </row>
    <row r="46" spans="1:8">
      <c r="A46" s="150" t="s">
        <v>1237</v>
      </c>
      <c r="B46" s="159">
        <v>8500</v>
      </c>
      <c r="C46" s="159">
        <v>8500</v>
      </c>
    </row>
    <row r="47" spans="1:8">
      <c r="A47" s="150" t="s">
        <v>1238</v>
      </c>
      <c r="B47" s="151">
        <v>24400</v>
      </c>
      <c r="C47" s="151">
        <v>24600</v>
      </c>
    </row>
    <row r="48" spans="1:8">
      <c r="A48" s="140" t="s">
        <v>646</v>
      </c>
      <c r="B48" s="143">
        <f>SUM(B37:B47)</f>
        <v>117082.93</v>
      </c>
      <c r="C48" s="143">
        <f>SUM(C37:C47)</f>
        <v>117413.23</v>
      </c>
    </row>
    <row r="49" spans="1:5" ht="25.5">
      <c r="A49" s="158" t="s">
        <v>52</v>
      </c>
      <c r="B49" s="151">
        <v>117000</v>
      </c>
      <c r="C49" s="151">
        <v>118000</v>
      </c>
    </row>
    <row r="50" spans="1:5">
      <c r="A50" s="165" t="s">
        <v>1229</v>
      </c>
    </row>
    <row r="51" spans="1:5" ht="25.5">
      <c r="A51" s="150" t="s">
        <v>1218</v>
      </c>
      <c r="B51" s="150" t="s">
        <v>1241</v>
      </c>
      <c r="C51" s="150" t="s">
        <v>1226</v>
      </c>
      <c r="D51" s="158" t="s">
        <v>1227</v>
      </c>
      <c r="E51" s="152" t="s">
        <v>206</v>
      </c>
    </row>
    <row r="52" spans="1:5">
      <c r="A52" s="150" t="s">
        <v>8</v>
      </c>
      <c r="B52" s="151">
        <v>0</v>
      </c>
      <c r="C52" s="151">
        <v>0</v>
      </c>
      <c r="D52" s="151">
        <v>0</v>
      </c>
    </row>
    <row r="53" spans="1:5">
      <c r="A53" s="150" t="s">
        <v>78</v>
      </c>
      <c r="B53" s="151">
        <v>17600</v>
      </c>
      <c r="C53" s="151">
        <v>24100</v>
      </c>
      <c r="D53" s="159">
        <v>37700</v>
      </c>
    </row>
    <row r="54" spans="1:5" ht="25.5">
      <c r="A54" s="150" t="s">
        <v>79</v>
      </c>
      <c r="B54" s="151">
        <v>1760</v>
      </c>
      <c r="C54" s="151">
        <v>2410</v>
      </c>
      <c r="D54" s="167">
        <v>3770</v>
      </c>
    </row>
    <row r="55" spans="1:5">
      <c r="A55" s="162" t="s">
        <v>86</v>
      </c>
      <c r="B55" s="150">
        <v>80.599999999999994</v>
      </c>
      <c r="C55" s="150">
        <v>87.2</v>
      </c>
      <c r="D55" s="166">
        <v>101</v>
      </c>
      <c r="E55">
        <v>1</v>
      </c>
    </row>
    <row r="56" spans="1:5">
      <c r="A56" s="150" t="s">
        <v>11</v>
      </c>
      <c r="B56" s="150">
        <v>0</v>
      </c>
      <c r="C56" s="150">
        <v>0</v>
      </c>
      <c r="D56" s="166">
        <v>0</v>
      </c>
    </row>
    <row r="57" spans="1:5">
      <c r="A57" s="150" t="s">
        <v>87</v>
      </c>
      <c r="B57" s="151">
        <v>3230</v>
      </c>
      <c r="C57" s="151">
        <v>3230</v>
      </c>
      <c r="D57" s="151">
        <v>3230</v>
      </c>
    </row>
    <row r="58" spans="1:5">
      <c r="A58" s="150" t="s">
        <v>88</v>
      </c>
      <c r="B58" s="150">
        <v>0</v>
      </c>
      <c r="C58" s="150">
        <v>0</v>
      </c>
      <c r="D58" s="150">
        <v>0</v>
      </c>
    </row>
    <row r="59" spans="1:5" ht="25.5">
      <c r="A59" s="150" t="s">
        <v>89</v>
      </c>
      <c r="B59" s="150">
        <v>0</v>
      </c>
      <c r="C59" s="150">
        <v>0</v>
      </c>
      <c r="D59" s="150">
        <v>0</v>
      </c>
    </row>
    <row r="60" spans="1:5" ht="25.5">
      <c r="A60" s="150" t="s">
        <v>90</v>
      </c>
      <c r="B60" s="150">
        <v>0</v>
      </c>
      <c r="C60" s="150">
        <v>0</v>
      </c>
      <c r="D60" s="150">
        <v>0</v>
      </c>
    </row>
    <row r="61" spans="1:5">
      <c r="A61" s="150" t="s">
        <v>1182</v>
      </c>
      <c r="B61" s="151">
        <v>91800</v>
      </c>
      <c r="C61" s="151">
        <v>126000</v>
      </c>
      <c r="D61" s="159">
        <v>196000</v>
      </c>
    </row>
    <row r="62" spans="1:5">
      <c r="A62" s="150" t="s">
        <v>1224</v>
      </c>
      <c r="B62" s="151">
        <v>2560</v>
      </c>
      <c r="C62" s="151">
        <v>3510</v>
      </c>
      <c r="D62" s="159">
        <v>5480</v>
      </c>
    </row>
    <row r="63" spans="1:5">
      <c r="A63" s="150" t="s">
        <v>91</v>
      </c>
      <c r="B63" s="151">
        <v>0</v>
      </c>
      <c r="C63" s="151">
        <v>0</v>
      </c>
      <c r="D63" s="151">
        <v>0</v>
      </c>
    </row>
    <row r="64" spans="1:5">
      <c r="A64" s="142" t="s">
        <v>646</v>
      </c>
      <c r="B64" s="143">
        <f>SUM(B52:B63)</f>
        <v>117030.6</v>
      </c>
      <c r="C64" s="143">
        <f>SUM(C52:C63)</f>
        <v>159337.20000000001</v>
      </c>
      <c r="D64" s="143">
        <f>SUM(D52:D63)</f>
        <v>246281</v>
      </c>
    </row>
    <row r="65" spans="1:6" ht="25.5">
      <c r="A65" s="150" t="s">
        <v>52</v>
      </c>
      <c r="B65" s="151">
        <v>117000</v>
      </c>
      <c r="C65" s="151">
        <v>159300</v>
      </c>
      <c r="D65" s="167">
        <v>246300</v>
      </c>
    </row>
    <row r="66" spans="1:6">
      <c r="A66" s="152" t="s">
        <v>206</v>
      </c>
    </row>
    <row r="67" spans="1:6">
      <c r="A67" s="337" t="s">
        <v>1228</v>
      </c>
      <c r="B67" s="337"/>
      <c r="C67" s="337"/>
      <c r="D67" s="337"/>
      <c r="E67" s="337"/>
      <c r="F67" s="337"/>
    </row>
    <row r="68" spans="1:6">
      <c r="A68" s="165" t="s">
        <v>129</v>
      </c>
    </row>
    <row r="69" spans="1:6" ht="25.5">
      <c r="A69" s="150" t="s">
        <v>430</v>
      </c>
      <c r="B69" s="150" t="s">
        <v>1225</v>
      </c>
      <c r="C69" s="150" t="s">
        <v>1226</v>
      </c>
      <c r="D69" s="150" t="s">
        <v>1227</v>
      </c>
    </row>
    <row r="70" spans="1:6">
      <c r="A70" s="150" t="s">
        <v>108</v>
      </c>
      <c r="B70" s="151">
        <v>19.899999999999999</v>
      </c>
      <c r="C70" s="151">
        <v>27.1</v>
      </c>
      <c r="D70" s="151">
        <v>42.1</v>
      </c>
    </row>
    <row r="71" spans="1:6" ht="25.5">
      <c r="A71" s="150" t="s">
        <v>109</v>
      </c>
      <c r="B71" s="151">
        <v>0.109</v>
      </c>
      <c r="C71" s="151">
        <v>0.14799999999999999</v>
      </c>
      <c r="D71" s="151">
        <v>0.23</v>
      </c>
    </row>
    <row r="72" spans="1:6" ht="25.5">
      <c r="A72" s="150" t="s">
        <v>1188</v>
      </c>
      <c r="B72" s="151">
        <v>132</v>
      </c>
      <c r="C72" s="151">
        <v>180</v>
      </c>
      <c r="D72" s="151">
        <v>279</v>
      </c>
    </row>
    <row r="73" spans="1:6">
      <c r="A73" s="150" t="s">
        <v>1189</v>
      </c>
      <c r="B73" s="151">
        <v>34.5</v>
      </c>
      <c r="C73" s="151">
        <v>46.9</v>
      </c>
      <c r="D73" s="151">
        <v>72.8</v>
      </c>
    </row>
    <row r="74" spans="1:6">
      <c r="A74" s="150" t="s">
        <v>107</v>
      </c>
      <c r="B74" s="151">
        <v>0.58899999999999997</v>
      </c>
      <c r="C74" s="151">
        <v>0.80200000000000005</v>
      </c>
      <c r="D74" s="151">
        <v>1.24</v>
      </c>
    </row>
    <row r="75" spans="1:6">
      <c r="A75" s="150" t="s">
        <v>1187</v>
      </c>
      <c r="B75" s="151">
        <v>8.4899999999999993E-3</v>
      </c>
      <c r="C75" s="151">
        <v>1.1599999999999999E-2</v>
      </c>
      <c r="D75" s="151">
        <v>1.7899999999999999E-2</v>
      </c>
    </row>
    <row r="76" spans="1:6">
      <c r="A76" s="150" t="s">
        <v>1234</v>
      </c>
      <c r="B76" s="151">
        <v>12.7</v>
      </c>
      <c r="C76" s="151">
        <v>17.2</v>
      </c>
      <c r="D76" s="151">
        <v>26.7</v>
      </c>
    </row>
    <row r="77" spans="1:6" ht="25.5">
      <c r="A77" s="150" t="s">
        <v>1124</v>
      </c>
      <c r="B77" s="151">
        <v>3.96</v>
      </c>
      <c r="C77" s="151">
        <v>5.4</v>
      </c>
      <c r="D77" s="151">
        <v>8.3800000000000008</v>
      </c>
    </row>
    <row r="78" spans="1:6">
      <c r="A78" s="150" t="s">
        <v>1125</v>
      </c>
      <c r="B78" s="151">
        <v>6.45</v>
      </c>
      <c r="C78" s="151">
        <v>8.7899999999999991</v>
      </c>
      <c r="D78" s="151">
        <v>13.7</v>
      </c>
    </row>
    <row r="79" spans="1:6">
      <c r="A79" s="150" t="s">
        <v>1237</v>
      </c>
      <c r="B79" s="151">
        <v>42.5</v>
      </c>
      <c r="C79" s="151">
        <v>57.9</v>
      </c>
      <c r="D79" s="151">
        <v>89.9</v>
      </c>
    </row>
    <row r="80" spans="1:6">
      <c r="A80" s="150" t="s">
        <v>1238</v>
      </c>
      <c r="B80" s="151">
        <v>122</v>
      </c>
      <c r="C80" s="151">
        <v>166</v>
      </c>
      <c r="D80" s="151">
        <v>257</v>
      </c>
    </row>
    <row r="81" spans="1:4">
      <c r="A81" s="165" t="s">
        <v>368</v>
      </c>
    </row>
    <row r="82" spans="1:4" ht="25.5">
      <c r="A82" s="150" t="s">
        <v>430</v>
      </c>
      <c r="B82" s="150" t="s">
        <v>1225</v>
      </c>
      <c r="C82" s="150" t="s">
        <v>1226</v>
      </c>
      <c r="D82" s="150" t="s">
        <v>1227</v>
      </c>
    </row>
    <row r="83" spans="1:4">
      <c r="A83" s="150" t="s">
        <v>108</v>
      </c>
      <c r="B83" s="151">
        <v>7950</v>
      </c>
      <c r="C83" s="151">
        <v>10800</v>
      </c>
      <c r="D83" s="151">
        <v>16800</v>
      </c>
    </row>
    <row r="84" spans="1:4" ht="25.5">
      <c r="A84" s="150" t="s">
        <v>109</v>
      </c>
      <c r="B84" s="151">
        <v>43.5</v>
      </c>
      <c r="C84" s="151">
        <v>59.3</v>
      </c>
      <c r="D84" s="151">
        <v>92.1</v>
      </c>
    </row>
    <row r="85" spans="1:4" ht="25.5">
      <c r="A85" s="150" t="s">
        <v>1188</v>
      </c>
      <c r="B85" s="151">
        <v>52900</v>
      </c>
      <c r="C85" s="151">
        <v>72000</v>
      </c>
      <c r="D85" s="151">
        <v>112000</v>
      </c>
    </row>
    <row r="86" spans="1:4">
      <c r="A86" s="150" t="s">
        <v>1189</v>
      </c>
      <c r="B86" s="151">
        <v>13800</v>
      </c>
      <c r="C86" s="151">
        <v>18800</v>
      </c>
      <c r="D86" s="151">
        <v>29100</v>
      </c>
    </row>
    <row r="87" spans="1:4">
      <c r="A87" s="150" t="s">
        <v>107</v>
      </c>
      <c r="B87" s="151">
        <v>236</v>
      </c>
      <c r="C87" s="151">
        <v>321</v>
      </c>
      <c r="D87" s="151">
        <v>498</v>
      </c>
    </row>
    <row r="88" spans="1:4">
      <c r="A88" s="150" t="s">
        <v>1187</v>
      </c>
      <c r="B88" s="151">
        <v>3.43</v>
      </c>
      <c r="C88" s="151">
        <v>4.62</v>
      </c>
      <c r="D88" s="151">
        <v>7.17</v>
      </c>
    </row>
    <row r="89" spans="1:4">
      <c r="A89" s="150" t="s">
        <v>1234</v>
      </c>
      <c r="B89" s="151">
        <v>5080</v>
      </c>
      <c r="C89" s="151">
        <v>6900</v>
      </c>
      <c r="D89" s="151">
        <v>10700</v>
      </c>
    </row>
    <row r="90" spans="1:4" ht="25.5">
      <c r="A90" s="150" t="s">
        <v>1124</v>
      </c>
      <c r="B90" s="151">
        <v>1590</v>
      </c>
      <c r="C90" s="151">
        <v>2160</v>
      </c>
      <c r="D90" s="151">
        <v>3350</v>
      </c>
    </row>
    <row r="91" spans="1:4">
      <c r="A91" s="150" t="s">
        <v>1125</v>
      </c>
      <c r="B91" s="151">
        <v>2580</v>
      </c>
      <c r="C91" s="151">
        <v>3520</v>
      </c>
      <c r="D91" s="151">
        <v>5460</v>
      </c>
    </row>
    <row r="92" spans="1:4">
      <c r="A92" s="150" t="s">
        <v>1237</v>
      </c>
      <c r="B92" s="159">
        <v>8500</v>
      </c>
      <c r="C92" s="159">
        <v>11600</v>
      </c>
      <c r="D92" s="159">
        <v>18000</v>
      </c>
    </row>
    <row r="93" spans="1:4">
      <c r="A93" s="150" t="s">
        <v>1238</v>
      </c>
      <c r="B93" s="151">
        <v>24400</v>
      </c>
      <c r="C93" s="151">
        <v>33200</v>
      </c>
      <c r="D93" s="151">
        <v>51300</v>
      </c>
    </row>
    <row r="94" spans="1:4">
      <c r="A94" s="140" t="s">
        <v>646</v>
      </c>
      <c r="B94" s="143">
        <f>SUM(B83:B93)</f>
        <v>117082.93</v>
      </c>
      <c r="C94" s="143">
        <f>SUM(C83:C93)</f>
        <v>159364.91999999998</v>
      </c>
      <c r="D94" s="143">
        <f>SUM(D83:D93)</f>
        <v>247307.27000000002</v>
      </c>
    </row>
    <row r="95" spans="1:4" ht="25.5">
      <c r="A95" s="158" t="s">
        <v>52</v>
      </c>
      <c r="B95" s="151">
        <v>117000</v>
      </c>
      <c r="C95" s="151">
        <v>159000</v>
      </c>
      <c r="D95" s="151">
        <v>247000</v>
      </c>
    </row>
    <row r="96" spans="1:4">
      <c r="A96" s="165" t="s">
        <v>374</v>
      </c>
    </row>
    <row r="97" spans="1:5" ht="51">
      <c r="A97" s="150" t="s">
        <v>1218</v>
      </c>
      <c r="B97" s="150" t="s">
        <v>1</v>
      </c>
      <c r="C97" s="150" t="s">
        <v>0</v>
      </c>
      <c r="D97" s="150" t="s">
        <v>1264</v>
      </c>
      <c r="E97" s="152" t="s">
        <v>206</v>
      </c>
    </row>
    <row r="98" spans="1:5">
      <c r="A98" s="150" t="s">
        <v>8</v>
      </c>
      <c r="B98" s="151">
        <v>0</v>
      </c>
      <c r="C98" s="151">
        <v>0</v>
      </c>
      <c r="D98" s="151">
        <v>0</v>
      </c>
      <c r="E98" s="154"/>
    </row>
    <row r="99" spans="1:5">
      <c r="A99" s="150" t="s">
        <v>78</v>
      </c>
      <c r="B99" s="151">
        <v>17600</v>
      </c>
      <c r="C99" s="151">
        <v>17600</v>
      </c>
      <c r="D99" s="151">
        <v>17600</v>
      </c>
      <c r="E99" s="154"/>
    </row>
    <row r="100" spans="1:5" ht="25.5">
      <c r="A100" s="150" t="s">
        <v>79</v>
      </c>
      <c r="B100" s="151">
        <v>1760</v>
      </c>
      <c r="C100" s="151">
        <v>24400</v>
      </c>
      <c r="D100" s="167">
        <v>16200</v>
      </c>
      <c r="E100" s="154" t="s">
        <v>371</v>
      </c>
    </row>
    <row r="101" spans="1:5">
      <c r="A101" s="162" t="s">
        <v>86</v>
      </c>
      <c r="B101" s="150">
        <v>80.599999999999994</v>
      </c>
      <c r="C101" s="150">
        <v>80.599999999999994</v>
      </c>
      <c r="D101" s="150">
        <v>80.599999999999994</v>
      </c>
      <c r="E101" s="154"/>
    </row>
    <row r="102" spans="1:5">
      <c r="A102" s="150" t="s">
        <v>11</v>
      </c>
      <c r="B102" s="150">
        <v>0</v>
      </c>
      <c r="C102" s="150">
        <v>0</v>
      </c>
      <c r="D102" s="166">
        <v>0</v>
      </c>
      <c r="E102" s="154"/>
    </row>
    <row r="103" spans="1:5">
      <c r="A103" s="150" t="s">
        <v>87</v>
      </c>
      <c r="B103" s="151">
        <v>3230</v>
      </c>
      <c r="C103" s="151">
        <v>3230</v>
      </c>
      <c r="D103" s="151">
        <v>3230</v>
      </c>
      <c r="E103" s="154"/>
    </row>
    <row r="104" spans="1:5">
      <c r="A104" s="150" t="s">
        <v>88</v>
      </c>
      <c r="B104" s="150">
        <v>0</v>
      </c>
      <c r="C104" s="150">
        <v>0</v>
      </c>
      <c r="D104" s="150">
        <v>0</v>
      </c>
      <c r="E104" s="154"/>
    </row>
    <row r="105" spans="1:5" ht="25.5">
      <c r="A105" s="150" t="s">
        <v>89</v>
      </c>
      <c r="B105" s="150">
        <v>0</v>
      </c>
      <c r="C105" s="150">
        <v>0</v>
      </c>
      <c r="D105" s="150">
        <v>0</v>
      </c>
      <c r="E105" s="154"/>
    </row>
    <row r="106" spans="1:5" ht="25.5">
      <c r="A106" s="150" t="s">
        <v>90</v>
      </c>
      <c r="B106" s="150">
        <v>0</v>
      </c>
      <c r="C106" s="150">
        <v>0</v>
      </c>
      <c r="D106" s="150">
        <v>0</v>
      </c>
      <c r="E106" s="154"/>
    </row>
    <row r="107" spans="1:5">
      <c r="A107" s="150" t="s">
        <v>1182</v>
      </c>
      <c r="B107" s="151">
        <v>91800</v>
      </c>
      <c r="C107" s="151">
        <v>91800</v>
      </c>
      <c r="D107" s="151">
        <v>91800</v>
      </c>
      <c r="E107" s="154"/>
    </row>
    <row r="108" spans="1:5">
      <c r="A108" s="150" t="s">
        <v>1224</v>
      </c>
      <c r="B108" s="151">
        <v>2560</v>
      </c>
      <c r="C108" s="151">
        <v>2560</v>
      </c>
      <c r="D108" s="151">
        <v>2560</v>
      </c>
      <c r="E108" s="154"/>
    </row>
    <row r="109" spans="1:5">
      <c r="A109" s="150" t="s">
        <v>91</v>
      </c>
      <c r="B109" s="151">
        <v>0</v>
      </c>
      <c r="C109" s="151">
        <v>0</v>
      </c>
      <c r="D109" s="151">
        <v>0</v>
      </c>
      <c r="E109" s="154"/>
    </row>
    <row r="110" spans="1:5">
      <c r="A110" s="142" t="s">
        <v>646</v>
      </c>
      <c r="B110" s="143">
        <f>SUM(B98:B109)</f>
        <v>117030.6</v>
      </c>
      <c r="C110" s="143">
        <f>SUM(C98:C109)</f>
        <v>139670.6</v>
      </c>
      <c r="D110" s="143">
        <f>SUM(D98:D109)</f>
        <v>131470.6</v>
      </c>
      <c r="E110" s="154"/>
    </row>
    <row r="111" spans="1:5" ht="25.5">
      <c r="A111" s="150" t="s">
        <v>52</v>
      </c>
      <c r="B111" s="151">
        <v>117000</v>
      </c>
      <c r="C111" s="151">
        <v>140000</v>
      </c>
      <c r="D111" s="167">
        <v>131000</v>
      </c>
      <c r="E111" s="154"/>
    </row>
    <row r="112" spans="1:5">
      <c r="A112" s="163" t="s">
        <v>206</v>
      </c>
    </row>
    <row r="113" spans="1:4" ht="27.75" customHeight="1">
      <c r="A113" s="334" t="s">
        <v>372</v>
      </c>
      <c r="B113" s="334"/>
      <c r="C113" s="334"/>
      <c r="D113" s="334"/>
    </row>
    <row r="114" spans="1:4" ht="27" customHeight="1">
      <c r="A114" s="334" t="s">
        <v>373</v>
      </c>
      <c r="B114" s="334"/>
      <c r="C114" s="334"/>
      <c r="D114" s="334"/>
    </row>
    <row r="115" spans="1:4">
      <c r="A115" s="165" t="s">
        <v>1262</v>
      </c>
    </row>
    <row r="116" spans="1:4" ht="51">
      <c r="A116" s="150" t="s">
        <v>430</v>
      </c>
      <c r="B116" s="150" t="s">
        <v>263</v>
      </c>
      <c r="C116" s="150" t="s">
        <v>369</v>
      </c>
      <c r="D116" s="150" t="s">
        <v>370</v>
      </c>
    </row>
    <row r="117" spans="1:4">
      <c r="A117" s="150" t="s">
        <v>108</v>
      </c>
      <c r="B117" s="151">
        <v>19.899999999999999</v>
      </c>
      <c r="C117" s="151">
        <v>25.9</v>
      </c>
      <c r="D117" s="151">
        <v>21.5</v>
      </c>
    </row>
    <row r="118" spans="1:4" ht="25.5">
      <c r="A118" s="150" t="s">
        <v>109</v>
      </c>
      <c r="B118" s="151">
        <v>0.109</v>
      </c>
      <c r="C118" s="151">
        <v>0.125</v>
      </c>
      <c r="D118" s="151">
        <v>0.124</v>
      </c>
    </row>
    <row r="119" spans="1:4" ht="25.5">
      <c r="A119" s="150" t="s">
        <v>1188</v>
      </c>
      <c r="B119" s="151">
        <v>132</v>
      </c>
      <c r="C119" s="151">
        <v>150</v>
      </c>
      <c r="D119" s="151">
        <v>144</v>
      </c>
    </row>
    <row r="120" spans="1:4">
      <c r="A120" s="150" t="s">
        <v>1189</v>
      </c>
      <c r="B120" s="151">
        <v>34.5</v>
      </c>
      <c r="C120" s="151">
        <v>38.9</v>
      </c>
      <c r="D120" s="151">
        <v>38.700000000000003</v>
      </c>
    </row>
    <row r="121" spans="1:4">
      <c r="A121" s="150" t="s">
        <v>107</v>
      </c>
      <c r="B121" s="151">
        <v>0.58899999999999997</v>
      </c>
      <c r="C121" s="151">
        <v>0.65100000000000002</v>
      </c>
      <c r="D121" s="151">
        <v>0.64900000000000002</v>
      </c>
    </row>
    <row r="122" spans="1:4">
      <c r="A122" s="150" t="s">
        <v>1187</v>
      </c>
      <c r="B122" s="151">
        <v>8.4899999999999993E-3</v>
      </c>
      <c r="C122" s="151">
        <v>1.03E-2</v>
      </c>
      <c r="D122" s="151">
        <v>1.0200000000000001E-2</v>
      </c>
    </row>
    <row r="123" spans="1:4">
      <c r="A123" s="150" t="s">
        <v>1234</v>
      </c>
      <c r="B123" s="151">
        <v>12.7</v>
      </c>
      <c r="C123" s="151">
        <v>18.2</v>
      </c>
      <c r="D123" s="151">
        <v>14.9</v>
      </c>
    </row>
    <row r="124" spans="1:4" ht="25.5">
      <c r="A124" s="150" t="s">
        <v>1124</v>
      </c>
      <c r="B124" s="151">
        <v>3.96</v>
      </c>
      <c r="C124" s="151">
        <v>4.49</v>
      </c>
      <c r="D124" s="151">
        <v>4.34</v>
      </c>
    </row>
    <row r="125" spans="1:4">
      <c r="A125" s="150" t="s">
        <v>1125</v>
      </c>
      <c r="B125" s="151">
        <v>6.45</v>
      </c>
      <c r="C125" s="151">
        <v>7.19</v>
      </c>
      <c r="D125" s="151">
        <v>7.11</v>
      </c>
    </row>
    <row r="126" spans="1:4">
      <c r="A126" s="150" t="s">
        <v>1237</v>
      </c>
      <c r="B126" s="151">
        <v>42.5</v>
      </c>
      <c r="C126" s="151">
        <v>57.6</v>
      </c>
      <c r="D126" s="151">
        <v>46.7</v>
      </c>
    </row>
    <row r="127" spans="1:4">
      <c r="A127" s="150" t="s">
        <v>1238</v>
      </c>
      <c r="B127" s="151">
        <v>122</v>
      </c>
      <c r="C127" s="151">
        <v>150</v>
      </c>
      <c r="D127" s="151">
        <v>149</v>
      </c>
    </row>
    <row r="128" spans="1:4">
      <c r="A128" s="165" t="s">
        <v>282</v>
      </c>
    </row>
    <row r="129" spans="1:4" ht="51">
      <c r="A129" s="150" t="s">
        <v>430</v>
      </c>
      <c r="B129" s="150" t="s">
        <v>263</v>
      </c>
      <c r="C129" s="150" t="s">
        <v>369</v>
      </c>
      <c r="D129" s="150" t="s">
        <v>370</v>
      </c>
    </row>
    <row r="130" spans="1:4">
      <c r="A130" s="150" t="s">
        <v>108</v>
      </c>
      <c r="B130" s="151">
        <v>7950</v>
      </c>
      <c r="C130" s="151">
        <v>10400</v>
      </c>
      <c r="D130" s="151">
        <v>8580</v>
      </c>
    </row>
    <row r="131" spans="1:4" ht="25.5">
      <c r="A131" s="150" t="s">
        <v>109</v>
      </c>
      <c r="B131" s="151">
        <v>43.5</v>
      </c>
      <c r="C131" s="151">
        <v>50.1</v>
      </c>
      <c r="D131" s="151">
        <v>49.5</v>
      </c>
    </row>
    <row r="132" spans="1:4" ht="25.5">
      <c r="A132" s="150" t="s">
        <v>1188</v>
      </c>
      <c r="B132" s="151">
        <v>52900</v>
      </c>
      <c r="C132" s="151">
        <v>60000</v>
      </c>
      <c r="D132" s="151">
        <v>57500</v>
      </c>
    </row>
    <row r="133" spans="1:4">
      <c r="A133" s="150" t="s">
        <v>1189</v>
      </c>
      <c r="B133" s="151">
        <v>13800</v>
      </c>
      <c r="C133" s="151">
        <v>15500</v>
      </c>
      <c r="D133" s="151">
        <v>15500</v>
      </c>
    </row>
    <row r="134" spans="1:4">
      <c r="A134" s="150" t="s">
        <v>107</v>
      </c>
      <c r="B134" s="151">
        <v>236</v>
      </c>
      <c r="C134" s="151">
        <v>260</v>
      </c>
      <c r="D134" s="151">
        <v>260</v>
      </c>
    </row>
    <row r="135" spans="1:4">
      <c r="A135" s="150" t="s">
        <v>1187</v>
      </c>
      <c r="B135" s="151">
        <v>3.43</v>
      </c>
      <c r="C135" s="151">
        <v>4.0999999999999996</v>
      </c>
      <c r="D135" s="151">
        <v>4.07</v>
      </c>
    </row>
    <row r="136" spans="1:4">
      <c r="A136" s="150" t="s">
        <v>1234</v>
      </c>
      <c r="B136" s="151">
        <v>5080</v>
      </c>
      <c r="C136" s="151">
        <v>7260</v>
      </c>
      <c r="D136" s="151">
        <v>5950</v>
      </c>
    </row>
    <row r="137" spans="1:4" ht="25.5">
      <c r="A137" s="150" t="s">
        <v>1124</v>
      </c>
      <c r="B137" s="151">
        <v>1590</v>
      </c>
      <c r="C137" s="151">
        <v>1790</v>
      </c>
      <c r="D137" s="151">
        <v>1740</v>
      </c>
    </row>
    <row r="138" spans="1:4">
      <c r="A138" s="150" t="s">
        <v>1125</v>
      </c>
      <c r="B138" s="151">
        <v>2580</v>
      </c>
      <c r="C138" s="151">
        <v>2880</v>
      </c>
      <c r="D138" s="151">
        <v>2850</v>
      </c>
    </row>
    <row r="139" spans="1:4">
      <c r="A139" s="150" t="s">
        <v>1237</v>
      </c>
      <c r="B139" s="159">
        <v>8500</v>
      </c>
      <c r="C139" s="159">
        <v>11500</v>
      </c>
      <c r="D139" s="159">
        <v>9330</v>
      </c>
    </row>
    <row r="140" spans="1:4">
      <c r="A140" s="150" t="s">
        <v>1238</v>
      </c>
      <c r="B140" s="151">
        <v>24400</v>
      </c>
      <c r="C140" s="151">
        <v>30000</v>
      </c>
      <c r="D140" s="151">
        <v>29700</v>
      </c>
    </row>
    <row r="141" spans="1:4">
      <c r="A141" s="140" t="s">
        <v>646</v>
      </c>
      <c r="B141" s="143">
        <f>SUM(B130:B140)</f>
        <v>117082.93</v>
      </c>
      <c r="C141" s="143">
        <f>SUM(C130:C140)</f>
        <v>139644.20000000001</v>
      </c>
      <c r="D141" s="143">
        <f>SUM(D130:D140)</f>
        <v>131463.57</v>
      </c>
    </row>
    <row r="142" spans="1:4" ht="25.5">
      <c r="A142" s="158" t="s">
        <v>52</v>
      </c>
      <c r="B142" s="151">
        <v>117000</v>
      </c>
      <c r="C142" s="151">
        <v>140000</v>
      </c>
      <c r="D142" s="151">
        <v>131000</v>
      </c>
    </row>
  </sheetData>
  <mergeCells count="8">
    <mergeCell ref="A113:D113"/>
    <mergeCell ref="A114:D114"/>
    <mergeCell ref="A18:H18"/>
    <mergeCell ref="A19:G19"/>
    <mergeCell ref="A20:G20"/>
    <mergeCell ref="A21:G21"/>
    <mergeCell ref="A35:H35"/>
    <mergeCell ref="A67:F67"/>
  </mergeCells>
  <phoneticPr fontId="5" type="noConversion"/>
  <pageMargins left="0.75" right="0.75" top="1" bottom="1" header="0.5" footer="0.5"/>
  <rowBreaks count="2" manualBreakCount="2">
    <brk id="49" max="16383" man="1"/>
    <brk id="114" max="16383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95"/>
  <sheetViews>
    <sheetView topLeftCell="A267" zoomScaleNormal="60" zoomScalePageLayoutView="60" workbookViewId="0">
      <selection activeCell="D306" sqref="D306"/>
    </sheetView>
  </sheetViews>
  <sheetFormatPr defaultColWidth="8.75" defaultRowHeight="14.25"/>
  <cols>
    <col min="1" max="1" width="10.75" customWidth="1"/>
    <col min="2" max="2" width="10.375" bestFit="1" customWidth="1"/>
    <col min="3" max="3" width="11.125" bestFit="1" customWidth="1"/>
    <col min="4" max="4" width="10.625" bestFit="1" customWidth="1"/>
    <col min="5" max="5" width="11.125" bestFit="1" customWidth="1"/>
    <col min="6" max="6" width="11" bestFit="1" customWidth="1"/>
  </cols>
  <sheetData>
    <row r="1" spans="1:6">
      <c r="A1" s="165" t="s">
        <v>1156</v>
      </c>
    </row>
    <row r="2" spans="1:6">
      <c r="A2" s="150" t="s">
        <v>1218</v>
      </c>
      <c r="B2" s="168">
        <v>1</v>
      </c>
      <c r="C2" s="168">
        <v>0.8</v>
      </c>
      <c r="D2" s="168">
        <v>0.6</v>
      </c>
      <c r="E2" s="168">
        <v>0.4</v>
      </c>
      <c r="F2" s="168">
        <v>0.2</v>
      </c>
    </row>
    <row r="3" spans="1:6">
      <c r="A3" s="150" t="s">
        <v>8</v>
      </c>
      <c r="B3" s="151">
        <v>0</v>
      </c>
      <c r="C3" s="151">
        <v>0</v>
      </c>
      <c r="D3" s="151">
        <v>0</v>
      </c>
      <c r="E3" s="151">
        <v>0</v>
      </c>
      <c r="F3" s="151">
        <v>0</v>
      </c>
    </row>
    <row r="4" spans="1:6">
      <c r="A4" s="150" t="s">
        <v>78</v>
      </c>
      <c r="B4" s="151">
        <v>0</v>
      </c>
      <c r="C4" s="151">
        <v>0</v>
      </c>
      <c r="D4" s="151">
        <v>0</v>
      </c>
      <c r="E4" s="151">
        <v>0</v>
      </c>
      <c r="F4" s="151">
        <v>0</v>
      </c>
    </row>
    <row r="5" spans="1:6" ht="25.5">
      <c r="A5" s="150" t="s">
        <v>79</v>
      </c>
      <c r="B5" s="151">
        <v>0</v>
      </c>
      <c r="C5" s="151">
        <v>0</v>
      </c>
      <c r="D5" s="151">
        <v>0</v>
      </c>
      <c r="E5" s="151">
        <v>0</v>
      </c>
      <c r="F5" s="151">
        <v>0</v>
      </c>
    </row>
    <row r="6" spans="1:6" ht="25.5">
      <c r="A6" s="162" t="s">
        <v>86</v>
      </c>
      <c r="B6" s="150">
        <v>440</v>
      </c>
      <c r="C6" s="150">
        <v>440</v>
      </c>
      <c r="D6" s="150">
        <v>440</v>
      </c>
      <c r="E6" s="150">
        <v>440</v>
      </c>
      <c r="F6" s="150">
        <v>440</v>
      </c>
    </row>
    <row r="7" spans="1:6">
      <c r="A7" s="150" t="s">
        <v>11</v>
      </c>
      <c r="B7" s="150">
        <v>0</v>
      </c>
      <c r="C7" s="150">
        <v>0</v>
      </c>
      <c r="D7" s="150">
        <v>0</v>
      </c>
      <c r="E7" s="150">
        <v>0</v>
      </c>
      <c r="F7" s="150">
        <v>0</v>
      </c>
    </row>
    <row r="8" spans="1:6">
      <c r="A8" s="150" t="s">
        <v>87</v>
      </c>
      <c r="B8" s="151">
        <v>0</v>
      </c>
      <c r="C8" s="151">
        <v>0</v>
      </c>
      <c r="D8" s="151">
        <v>0</v>
      </c>
      <c r="E8" s="151">
        <v>0</v>
      </c>
      <c r="F8" s="151">
        <v>0</v>
      </c>
    </row>
    <row r="9" spans="1:6">
      <c r="A9" s="150" t="s">
        <v>88</v>
      </c>
      <c r="B9" s="150">
        <v>0</v>
      </c>
      <c r="C9" s="150">
        <v>0</v>
      </c>
      <c r="D9" s="150">
        <v>0</v>
      </c>
      <c r="E9" s="150">
        <v>0</v>
      </c>
      <c r="F9" s="150">
        <v>0</v>
      </c>
    </row>
    <row r="10" spans="1:6" ht="25.5">
      <c r="A10" s="150" t="s">
        <v>89</v>
      </c>
      <c r="B10" s="150">
        <v>0</v>
      </c>
      <c r="C10" s="150">
        <v>0</v>
      </c>
      <c r="D10" s="150">
        <v>0</v>
      </c>
      <c r="E10" s="150">
        <v>0</v>
      </c>
      <c r="F10" s="150">
        <v>0</v>
      </c>
    </row>
    <row r="11" spans="1:6" ht="38.25">
      <c r="A11" s="150" t="s">
        <v>90</v>
      </c>
      <c r="B11" s="150">
        <v>0</v>
      </c>
      <c r="C11" s="150">
        <v>0</v>
      </c>
      <c r="D11" s="150">
        <v>0</v>
      </c>
      <c r="E11" s="150">
        <v>0</v>
      </c>
      <c r="F11" s="150">
        <v>0</v>
      </c>
    </row>
    <row r="12" spans="1:6">
      <c r="A12" s="150" t="s">
        <v>1182</v>
      </c>
      <c r="B12" s="151">
        <v>101000</v>
      </c>
      <c r="C12" s="151">
        <v>80500</v>
      </c>
      <c r="D12" s="151">
        <v>60400</v>
      </c>
      <c r="E12" s="151">
        <v>40200</v>
      </c>
      <c r="F12" s="151">
        <v>20100</v>
      </c>
    </row>
    <row r="13" spans="1:6">
      <c r="A13" s="150" t="s">
        <v>1224</v>
      </c>
      <c r="B13" s="151">
        <v>0</v>
      </c>
      <c r="C13" s="151">
        <v>0</v>
      </c>
      <c r="D13" s="151">
        <v>0</v>
      </c>
      <c r="E13" s="151">
        <v>0</v>
      </c>
      <c r="F13" s="151">
        <v>0</v>
      </c>
    </row>
    <row r="14" spans="1:6">
      <c r="A14" s="150" t="s">
        <v>91</v>
      </c>
      <c r="B14" s="151">
        <v>8260</v>
      </c>
      <c r="C14" s="151">
        <v>8260</v>
      </c>
      <c r="D14" s="151">
        <v>8260</v>
      </c>
      <c r="E14" s="151">
        <v>8260</v>
      </c>
      <c r="F14" s="151">
        <v>8260</v>
      </c>
    </row>
    <row r="15" spans="1:6">
      <c r="A15" s="142" t="s">
        <v>646</v>
      </c>
      <c r="B15" s="143">
        <f>SUM(B3:B14)</f>
        <v>109700</v>
      </c>
      <c r="C15" s="143">
        <f>SUM(C3:C14)</f>
        <v>89200</v>
      </c>
      <c r="D15" s="143">
        <f>SUM(D3:D14)</f>
        <v>69100</v>
      </c>
      <c r="E15" s="143">
        <f>SUM(E3:E14)</f>
        <v>48900</v>
      </c>
      <c r="F15" s="143">
        <f>SUM(F3:F14)</f>
        <v>28800</v>
      </c>
    </row>
    <row r="16" spans="1:6" ht="25.5">
      <c r="A16" s="150" t="s">
        <v>52</v>
      </c>
      <c r="B16" s="151">
        <v>109000</v>
      </c>
      <c r="C16" s="151">
        <v>89200</v>
      </c>
      <c r="D16" s="167">
        <v>69100</v>
      </c>
      <c r="E16" s="167">
        <v>48900</v>
      </c>
      <c r="F16" s="167">
        <v>28800</v>
      </c>
    </row>
    <row r="17" spans="1:6">
      <c r="A17" s="340" t="s">
        <v>1163</v>
      </c>
      <c r="B17" s="341"/>
      <c r="C17" s="341"/>
      <c r="D17" s="341"/>
      <c r="E17" s="341"/>
      <c r="F17" s="341"/>
    </row>
    <row r="18" spans="1:6" ht="25.5">
      <c r="A18" s="150" t="s">
        <v>430</v>
      </c>
      <c r="B18" s="168" t="s">
        <v>2</v>
      </c>
      <c r="C18" s="168" t="s">
        <v>3</v>
      </c>
      <c r="D18" s="168" t="s">
        <v>1154</v>
      </c>
      <c r="E18" s="168" t="s">
        <v>1155</v>
      </c>
      <c r="F18" s="168" t="s">
        <v>1157</v>
      </c>
    </row>
    <row r="19" spans="1:6">
      <c r="A19" s="150" t="s">
        <v>108</v>
      </c>
      <c r="B19" s="151">
        <v>8230</v>
      </c>
      <c r="C19" s="151">
        <v>6630</v>
      </c>
      <c r="D19" s="151">
        <v>5020</v>
      </c>
      <c r="E19" s="151">
        <v>3420</v>
      </c>
      <c r="F19" s="151">
        <v>1820</v>
      </c>
    </row>
    <row r="20" spans="1:6" ht="25.5">
      <c r="A20" s="150" t="s">
        <v>109</v>
      </c>
      <c r="B20" s="150">
        <v>45.3</v>
      </c>
      <c r="C20" s="150">
        <v>36.9</v>
      </c>
      <c r="D20" s="150">
        <v>28.6</v>
      </c>
      <c r="E20" s="150">
        <v>20.2</v>
      </c>
      <c r="F20" s="150">
        <v>11.9</v>
      </c>
    </row>
    <row r="21" spans="1:6" ht="25.5">
      <c r="A21" s="150" t="s">
        <v>1188</v>
      </c>
      <c r="B21" s="151">
        <v>44000</v>
      </c>
      <c r="C21" s="151">
        <v>35800</v>
      </c>
      <c r="D21" s="151">
        <v>27700</v>
      </c>
      <c r="E21" s="151">
        <v>19500</v>
      </c>
      <c r="F21" s="151">
        <v>11400</v>
      </c>
    </row>
    <row r="22" spans="1:6" ht="25.5">
      <c r="A22" s="150" t="s">
        <v>1189</v>
      </c>
      <c r="B22" s="151">
        <v>12500</v>
      </c>
      <c r="C22" s="151">
        <v>10100</v>
      </c>
      <c r="D22" s="151">
        <v>7780</v>
      </c>
      <c r="E22" s="151">
        <v>5420</v>
      </c>
      <c r="F22" s="151">
        <v>3070</v>
      </c>
    </row>
    <row r="23" spans="1:6">
      <c r="A23" s="150" t="s">
        <v>107</v>
      </c>
      <c r="B23" s="150">
        <v>250</v>
      </c>
      <c r="C23" s="150">
        <v>201</v>
      </c>
      <c r="D23" s="150">
        <v>153</v>
      </c>
      <c r="E23" s="150">
        <v>104</v>
      </c>
      <c r="F23" s="150">
        <v>55.5</v>
      </c>
    </row>
    <row r="24" spans="1:6">
      <c r="A24" s="150" t="s">
        <v>1187</v>
      </c>
      <c r="B24" s="150">
        <v>5.08</v>
      </c>
      <c r="C24" s="150">
        <v>4.42</v>
      </c>
      <c r="D24" s="150">
        <v>3.77</v>
      </c>
      <c r="E24" s="150">
        <v>3.11</v>
      </c>
      <c r="F24" s="150">
        <v>2.46</v>
      </c>
    </row>
    <row r="25" spans="1:6">
      <c r="A25" s="150" t="s">
        <v>1234</v>
      </c>
      <c r="B25" s="151">
        <v>5210</v>
      </c>
      <c r="C25" s="151">
        <v>4190</v>
      </c>
      <c r="D25" s="151">
        <v>3130</v>
      </c>
      <c r="E25" s="151">
        <v>2160</v>
      </c>
      <c r="F25" s="151">
        <v>1150</v>
      </c>
    </row>
    <row r="26" spans="1:6" ht="40.5" customHeight="1">
      <c r="A26" s="150" t="s">
        <v>1124</v>
      </c>
      <c r="B26" s="151">
        <v>1540</v>
      </c>
      <c r="C26" s="151">
        <v>1260</v>
      </c>
      <c r="D26" s="150">
        <v>975</v>
      </c>
      <c r="E26" s="150">
        <v>691</v>
      </c>
      <c r="F26" s="150">
        <v>407</v>
      </c>
    </row>
    <row r="27" spans="1:6">
      <c r="A27" s="150" t="s">
        <v>1125</v>
      </c>
      <c r="B27" s="151">
        <v>2460</v>
      </c>
      <c r="C27" s="151">
        <v>1950</v>
      </c>
      <c r="D27" s="151">
        <v>1430</v>
      </c>
      <c r="E27" s="150">
        <v>914</v>
      </c>
      <c r="F27" s="150">
        <v>397</v>
      </c>
    </row>
    <row r="28" spans="1:6">
      <c r="A28" s="150" t="s">
        <v>1237</v>
      </c>
      <c r="B28" s="151">
        <v>8100</v>
      </c>
      <c r="C28" s="151">
        <v>6500</v>
      </c>
      <c r="D28" s="151">
        <v>4910</v>
      </c>
      <c r="E28" s="151">
        <v>3310</v>
      </c>
      <c r="F28" s="151">
        <v>1710</v>
      </c>
    </row>
    <row r="29" spans="1:6">
      <c r="A29" s="150" t="s">
        <v>1238</v>
      </c>
      <c r="B29" s="151">
        <v>27000</v>
      </c>
      <c r="C29" s="151">
        <v>22500</v>
      </c>
      <c r="D29" s="151">
        <v>17900</v>
      </c>
      <c r="E29" s="151">
        <v>13300</v>
      </c>
      <c r="F29" s="151">
        <v>8790</v>
      </c>
    </row>
    <row r="30" spans="1:6">
      <c r="A30" s="142" t="s">
        <v>646</v>
      </c>
      <c r="B30" s="143">
        <f>SUM(B19:B29)</f>
        <v>109340.38</v>
      </c>
      <c r="C30" s="143">
        <f>SUM(C19:C29)</f>
        <v>89172.32</v>
      </c>
      <c r="D30" s="143">
        <f>SUM(D19:D29)</f>
        <v>69030.37</v>
      </c>
      <c r="E30" s="143">
        <f>SUM(E19:E29)</f>
        <v>48842.31</v>
      </c>
      <c r="F30" s="143">
        <f>SUM(F19:F29)</f>
        <v>28813.86</v>
      </c>
    </row>
    <row r="31" spans="1:6" ht="25.5">
      <c r="A31" s="150" t="s">
        <v>52</v>
      </c>
      <c r="B31" s="151">
        <v>109000</v>
      </c>
      <c r="C31" s="151">
        <v>89200</v>
      </c>
      <c r="D31" s="167">
        <v>69100</v>
      </c>
      <c r="E31" s="167">
        <v>48900</v>
      </c>
      <c r="F31" s="167">
        <v>28800</v>
      </c>
    </row>
    <row r="32" spans="1:6">
      <c r="A32" s="342" t="s">
        <v>1161</v>
      </c>
      <c r="B32" s="343"/>
      <c r="C32" s="343"/>
      <c r="D32" s="343"/>
      <c r="E32" s="343"/>
      <c r="F32" s="343"/>
    </row>
    <row r="33" spans="1:6" ht="25.5">
      <c r="A33" s="150" t="s">
        <v>1218</v>
      </c>
      <c r="B33" s="168" t="s">
        <v>1158</v>
      </c>
      <c r="C33" s="168" t="s">
        <v>1160</v>
      </c>
      <c r="D33" s="168" t="s">
        <v>1159</v>
      </c>
    </row>
    <row r="34" spans="1:6">
      <c r="A34" s="150" t="s">
        <v>8</v>
      </c>
      <c r="B34" s="151">
        <v>0</v>
      </c>
      <c r="C34" s="151">
        <v>0</v>
      </c>
      <c r="D34" s="151">
        <v>0</v>
      </c>
    </row>
    <row r="35" spans="1:6">
      <c r="A35" s="150" t="s">
        <v>78</v>
      </c>
      <c r="B35" s="151">
        <v>0</v>
      </c>
      <c r="C35" s="151">
        <v>0</v>
      </c>
      <c r="D35" s="151">
        <v>0</v>
      </c>
    </row>
    <row r="36" spans="1:6" ht="25.5">
      <c r="A36" s="150" t="s">
        <v>79</v>
      </c>
      <c r="B36" s="151">
        <v>0</v>
      </c>
      <c r="C36" s="151">
        <v>0</v>
      </c>
      <c r="D36" s="151">
        <v>0</v>
      </c>
    </row>
    <row r="37" spans="1:6" ht="25.5">
      <c r="A37" s="162" t="s">
        <v>86</v>
      </c>
      <c r="B37" s="150">
        <v>440</v>
      </c>
      <c r="C37" s="150">
        <v>440</v>
      </c>
      <c r="D37" s="150">
        <v>440</v>
      </c>
    </row>
    <row r="38" spans="1:6">
      <c r="A38" s="150" t="s">
        <v>11</v>
      </c>
      <c r="B38" s="150">
        <v>0</v>
      </c>
      <c r="C38" s="150">
        <v>0</v>
      </c>
      <c r="D38" s="150">
        <v>0</v>
      </c>
    </row>
    <row r="39" spans="1:6">
      <c r="A39" s="150" t="s">
        <v>87</v>
      </c>
      <c r="B39" s="151">
        <v>0</v>
      </c>
      <c r="C39" s="151">
        <v>0</v>
      </c>
      <c r="D39" s="151">
        <v>0</v>
      </c>
    </row>
    <row r="40" spans="1:6">
      <c r="A40" s="150" t="s">
        <v>88</v>
      </c>
      <c r="B40" s="150">
        <v>0</v>
      </c>
      <c r="C40" s="150">
        <v>0</v>
      </c>
      <c r="D40" s="150">
        <v>0</v>
      </c>
    </row>
    <row r="41" spans="1:6" ht="25.5">
      <c r="A41" s="150" t="s">
        <v>89</v>
      </c>
      <c r="B41" s="150">
        <v>0</v>
      </c>
      <c r="C41" s="150">
        <v>0</v>
      </c>
      <c r="D41" s="150">
        <v>0</v>
      </c>
    </row>
    <row r="42" spans="1:6" ht="38.25">
      <c r="A42" s="150" t="s">
        <v>90</v>
      </c>
      <c r="B42" s="150">
        <v>0</v>
      </c>
      <c r="C42" s="150">
        <v>0</v>
      </c>
      <c r="D42" s="150">
        <v>0</v>
      </c>
    </row>
    <row r="43" spans="1:6">
      <c r="A43" s="150" t="s">
        <v>1182</v>
      </c>
      <c r="B43" s="151">
        <v>101000</v>
      </c>
      <c r="C43" s="151">
        <v>179000</v>
      </c>
      <c r="D43" s="151">
        <v>1200000</v>
      </c>
    </row>
    <row r="44" spans="1:6">
      <c r="A44" s="150" t="s">
        <v>1224</v>
      </c>
      <c r="B44" s="169">
        <v>0</v>
      </c>
      <c r="C44" s="169">
        <v>0</v>
      </c>
      <c r="D44" s="169">
        <v>0</v>
      </c>
    </row>
    <row r="45" spans="1:6">
      <c r="A45" s="150" t="s">
        <v>91</v>
      </c>
      <c r="B45" s="151">
        <v>8260</v>
      </c>
      <c r="C45" s="151">
        <v>8260</v>
      </c>
      <c r="D45" s="151">
        <v>8260</v>
      </c>
    </row>
    <row r="46" spans="1:6">
      <c r="A46" s="142" t="s">
        <v>646</v>
      </c>
      <c r="B46" s="143">
        <f>SUM(B34:B45)</f>
        <v>109700</v>
      </c>
      <c r="C46" s="143">
        <f>SUM(C34:C45)</f>
        <v>187700</v>
      </c>
      <c r="D46" s="143">
        <f>SUM(D34:D45)</f>
        <v>1208700</v>
      </c>
    </row>
    <row r="47" spans="1:6" ht="25.5">
      <c r="A47" s="150" t="s">
        <v>52</v>
      </c>
      <c r="B47" s="151">
        <v>109000</v>
      </c>
      <c r="C47" s="151">
        <v>188000</v>
      </c>
      <c r="D47" s="167">
        <v>1210000</v>
      </c>
    </row>
    <row r="48" spans="1:6" ht="18" customHeight="1">
      <c r="A48" s="338" t="s">
        <v>1162</v>
      </c>
      <c r="B48" s="339"/>
      <c r="C48" s="339"/>
      <c r="D48" s="339"/>
      <c r="E48" s="339"/>
      <c r="F48" s="339"/>
    </row>
    <row r="49" spans="1:6" ht="25.5">
      <c r="A49" s="150" t="s">
        <v>430</v>
      </c>
      <c r="B49" s="168" t="s">
        <v>1158</v>
      </c>
      <c r="C49" s="168" t="s">
        <v>1160</v>
      </c>
      <c r="D49" s="168" t="s">
        <v>1159</v>
      </c>
    </row>
    <row r="50" spans="1:6">
      <c r="A50" s="150" t="s">
        <v>108</v>
      </c>
      <c r="B50" s="169">
        <v>19.440000000000001</v>
      </c>
      <c r="C50" s="169">
        <v>29.4</v>
      </c>
      <c r="D50" s="169">
        <v>177</v>
      </c>
    </row>
    <row r="51" spans="1:6" ht="25.5">
      <c r="A51" s="150" t="s">
        <v>109</v>
      </c>
      <c r="B51" s="169">
        <v>0.113</v>
      </c>
      <c r="C51" s="169">
        <v>0.16600000000000001</v>
      </c>
      <c r="D51" s="169">
        <v>1.1299999999999999</v>
      </c>
    </row>
    <row r="52" spans="1:6" ht="25.5">
      <c r="A52" s="150" t="s">
        <v>1188</v>
      </c>
      <c r="B52" s="169">
        <v>108.9</v>
      </c>
      <c r="C52" s="169">
        <v>190</v>
      </c>
      <c r="D52" s="151">
        <v>1250</v>
      </c>
    </row>
    <row r="53" spans="1:6" ht="25.5">
      <c r="A53" s="150" t="s">
        <v>1189</v>
      </c>
      <c r="B53" s="169">
        <v>31.6</v>
      </c>
      <c r="C53" s="169">
        <v>57.5</v>
      </c>
      <c r="D53" s="169">
        <v>280</v>
      </c>
    </row>
    <row r="54" spans="1:6">
      <c r="A54" s="150" t="s">
        <v>107</v>
      </c>
      <c r="B54" s="169">
        <v>0.58699999999999997</v>
      </c>
      <c r="C54" s="169">
        <v>4.7300000000000004</v>
      </c>
      <c r="D54" s="169">
        <v>6.53</v>
      </c>
    </row>
    <row r="55" spans="1:6">
      <c r="A55" s="150" t="s">
        <v>1187</v>
      </c>
      <c r="B55" s="169">
        <v>1.66E-2</v>
      </c>
      <c r="C55" s="169">
        <v>2.7300000000000001E-2</v>
      </c>
      <c r="D55" s="169">
        <v>0.27</v>
      </c>
    </row>
    <row r="56" spans="1:6">
      <c r="A56" s="150" t="s">
        <v>1234</v>
      </c>
      <c r="B56" s="169">
        <v>12.15</v>
      </c>
      <c r="C56" s="169">
        <v>17.2</v>
      </c>
      <c r="D56" s="169">
        <v>113</v>
      </c>
    </row>
    <row r="57" spans="1:6" ht="38.25">
      <c r="A57" s="150" t="s">
        <v>1124</v>
      </c>
      <c r="B57" s="169">
        <v>3.9</v>
      </c>
      <c r="C57" s="169">
        <v>6.91</v>
      </c>
      <c r="D57" s="169">
        <v>42.5</v>
      </c>
    </row>
    <row r="58" spans="1:6">
      <c r="A58" s="150" t="s">
        <v>1125</v>
      </c>
      <c r="B58" s="169">
        <v>5.24</v>
      </c>
      <c r="C58" s="169">
        <v>11.6</v>
      </c>
      <c r="D58" s="169">
        <v>27.1</v>
      </c>
    </row>
    <row r="59" spans="1:6">
      <c r="A59" s="150" t="s">
        <v>1237</v>
      </c>
      <c r="B59" s="169">
        <v>37.08</v>
      </c>
      <c r="C59" s="169">
        <v>46.5</v>
      </c>
      <c r="D59" s="169">
        <v>330</v>
      </c>
    </row>
    <row r="60" spans="1:6">
      <c r="A60" s="150" t="s">
        <v>1238</v>
      </c>
      <c r="B60" s="169">
        <v>146.69999999999999</v>
      </c>
      <c r="C60" s="169">
        <v>259</v>
      </c>
      <c r="D60" s="151">
        <v>1930</v>
      </c>
    </row>
    <row r="61" spans="1:6" ht="15.95" customHeight="1">
      <c r="A61" s="338" t="s">
        <v>50</v>
      </c>
      <c r="B61" s="339"/>
      <c r="C61" s="339"/>
      <c r="D61" s="339"/>
      <c r="E61" s="339"/>
      <c r="F61" s="339"/>
    </row>
    <row r="62" spans="1:6" ht="25.5">
      <c r="A62" s="150" t="s">
        <v>430</v>
      </c>
      <c r="B62" s="168" t="s">
        <v>1158</v>
      </c>
      <c r="C62" s="168" t="s">
        <v>1160</v>
      </c>
      <c r="D62" s="168" t="s">
        <v>1159</v>
      </c>
    </row>
    <row r="63" spans="1:6">
      <c r="A63" s="150" t="s">
        <v>108</v>
      </c>
      <c r="B63" s="151">
        <v>8230</v>
      </c>
      <c r="C63" s="151">
        <v>11800</v>
      </c>
      <c r="D63" s="151">
        <v>70800</v>
      </c>
    </row>
    <row r="64" spans="1:6" ht="25.5">
      <c r="A64" s="150" t="s">
        <v>109</v>
      </c>
      <c r="B64" s="150">
        <v>45.3</v>
      </c>
      <c r="C64" s="150">
        <v>66.2</v>
      </c>
      <c r="D64" s="150">
        <v>452</v>
      </c>
    </row>
    <row r="65" spans="1:5" ht="25.5">
      <c r="A65" s="150" t="s">
        <v>1188</v>
      </c>
      <c r="B65" s="151">
        <v>44000</v>
      </c>
      <c r="C65" s="151">
        <v>76000</v>
      </c>
      <c r="D65" s="151">
        <v>501000</v>
      </c>
    </row>
    <row r="66" spans="1:5" ht="25.5">
      <c r="A66" s="150" t="s">
        <v>1189</v>
      </c>
      <c r="B66" s="151">
        <v>12500</v>
      </c>
      <c r="C66" s="151">
        <v>23000</v>
      </c>
      <c r="D66" s="151">
        <v>112000</v>
      </c>
    </row>
    <row r="67" spans="1:5">
      <c r="A67" s="150" t="s">
        <v>107</v>
      </c>
      <c r="B67" s="150">
        <v>250</v>
      </c>
      <c r="C67" s="151">
        <v>1890</v>
      </c>
      <c r="D67" s="151">
        <v>2610</v>
      </c>
    </row>
    <row r="68" spans="1:5">
      <c r="A68" s="150" t="s">
        <v>1187</v>
      </c>
      <c r="B68" s="150">
        <v>5.08</v>
      </c>
      <c r="C68" s="150">
        <v>10.9</v>
      </c>
      <c r="D68" s="150">
        <v>108</v>
      </c>
    </row>
    <row r="69" spans="1:5">
      <c r="A69" s="150" t="s">
        <v>1234</v>
      </c>
      <c r="B69" s="151">
        <v>5210</v>
      </c>
      <c r="C69" s="151">
        <v>6870</v>
      </c>
      <c r="D69" s="151">
        <v>45100</v>
      </c>
    </row>
    <row r="70" spans="1:5" ht="38.25">
      <c r="A70" s="150" t="s">
        <v>1124</v>
      </c>
      <c r="B70" s="151">
        <v>1540</v>
      </c>
      <c r="C70" s="151">
        <v>2770</v>
      </c>
      <c r="D70" s="151">
        <v>17000</v>
      </c>
    </row>
    <row r="71" spans="1:5">
      <c r="A71" s="150" t="s">
        <v>1125</v>
      </c>
      <c r="B71" s="151">
        <v>2460</v>
      </c>
      <c r="C71" s="151">
        <v>4650</v>
      </c>
      <c r="D71" s="151">
        <v>10900</v>
      </c>
    </row>
    <row r="72" spans="1:5">
      <c r="A72" s="150" t="s">
        <v>1237</v>
      </c>
      <c r="B72" s="151">
        <v>8100</v>
      </c>
      <c r="C72" s="151">
        <v>9310</v>
      </c>
      <c r="D72" s="151">
        <v>66000</v>
      </c>
    </row>
    <row r="73" spans="1:5">
      <c r="A73" s="150" t="s">
        <v>1238</v>
      </c>
      <c r="B73" s="151">
        <v>27000</v>
      </c>
      <c r="C73" s="151">
        <v>51700</v>
      </c>
      <c r="D73" s="151">
        <v>387000</v>
      </c>
    </row>
    <row r="74" spans="1:5">
      <c r="A74" s="142" t="s">
        <v>646</v>
      </c>
      <c r="B74" s="143">
        <f>SUM(B63:B73)</f>
        <v>109340.38</v>
      </c>
      <c r="C74" s="143">
        <f>SUM(C63:C73)</f>
        <v>188067.09999999998</v>
      </c>
      <c r="D74" s="143">
        <f>SUM(D63:D73)</f>
        <v>1212970</v>
      </c>
    </row>
    <row r="75" spans="1:5" ht="25.5">
      <c r="A75" s="150" t="s">
        <v>52</v>
      </c>
      <c r="B75" s="151">
        <v>109000</v>
      </c>
      <c r="C75" s="151">
        <v>188000</v>
      </c>
      <c r="D75" s="167">
        <v>1210000</v>
      </c>
    </row>
    <row r="76" spans="1:5" ht="18" customHeight="1">
      <c r="A76" s="338" t="s">
        <v>1063</v>
      </c>
      <c r="B76" s="339"/>
      <c r="C76" s="339"/>
      <c r="D76" s="339"/>
      <c r="E76" s="339"/>
    </row>
    <row r="77" spans="1:5" ht="31.5" customHeight="1">
      <c r="A77" s="150" t="s">
        <v>1218</v>
      </c>
      <c r="B77" s="168">
        <v>0.1</v>
      </c>
      <c r="C77" s="168">
        <v>0.2</v>
      </c>
    </row>
    <row r="78" spans="1:5">
      <c r="A78" s="150" t="s">
        <v>8</v>
      </c>
      <c r="B78" s="151">
        <v>0</v>
      </c>
      <c r="C78" s="151">
        <v>0</v>
      </c>
    </row>
    <row r="79" spans="1:5">
      <c r="A79" s="150" t="s">
        <v>78</v>
      </c>
      <c r="B79" s="151">
        <v>0</v>
      </c>
      <c r="C79" s="151">
        <v>0</v>
      </c>
    </row>
    <row r="80" spans="1:5" ht="25.5">
      <c r="A80" s="150" t="s">
        <v>79</v>
      </c>
      <c r="B80" s="151">
        <v>0</v>
      </c>
      <c r="C80" s="151">
        <v>0</v>
      </c>
    </row>
    <row r="81" spans="1:5" ht="25.5">
      <c r="A81" s="162" t="s">
        <v>86</v>
      </c>
      <c r="B81" s="150">
        <v>440</v>
      </c>
      <c r="C81" s="150">
        <v>440</v>
      </c>
    </row>
    <row r="82" spans="1:5">
      <c r="A82" s="150" t="s">
        <v>11</v>
      </c>
      <c r="B82" s="150">
        <v>0</v>
      </c>
      <c r="C82" s="150">
        <v>0</v>
      </c>
    </row>
    <row r="83" spans="1:5">
      <c r="A83" s="150" t="s">
        <v>87</v>
      </c>
      <c r="B83" s="151">
        <v>0</v>
      </c>
      <c r="C83" s="151">
        <v>0</v>
      </c>
    </row>
    <row r="84" spans="1:5">
      <c r="A84" s="150" t="s">
        <v>88</v>
      </c>
      <c r="B84" s="150">
        <v>0</v>
      </c>
      <c r="C84" s="150">
        <v>0</v>
      </c>
    </row>
    <row r="85" spans="1:5" ht="25.5">
      <c r="A85" s="150" t="s">
        <v>89</v>
      </c>
      <c r="B85" s="150">
        <v>0</v>
      </c>
      <c r="C85" s="150">
        <v>0</v>
      </c>
    </row>
    <row r="86" spans="1:5" ht="38.25">
      <c r="A86" s="150" t="s">
        <v>90</v>
      </c>
      <c r="B86" s="150">
        <v>0</v>
      </c>
      <c r="C86" s="150">
        <v>0</v>
      </c>
    </row>
    <row r="87" spans="1:5">
      <c r="A87" s="150" t="s">
        <v>1182</v>
      </c>
      <c r="B87" s="151">
        <v>101000</v>
      </c>
      <c r="C87" s="151">
        <v>101000</v>
      </c>
    </row>
    <row r="88" spans="1:5">
      <c r="A88" s="150" t="s">
        <v>1224</v>
      </c>
      <c r="B88" s="151">
        <v>2280</v>
      </c>
      <c r="C88" s="151">
        <v>4560</v>
      </c>
    </row>
    <row r="89" spans="1:5">
      <c r="A89" s="150" t="s">
        <v>91</v>
      </c>
      <c r="B89" s="151">
        <v>8270</v>
      </c>
      <c r="C89" s="151">
        <v>8270</v>
      </c>
    </row>
    <row r="90" spans="1:5">
      <c r="A90" s="142" t="s">
        <v>646</v>
      </c>
      <c r="B90" s="143">
        <f>SUM(B78:B89)</f>
        <v>111990</v>
      </c>
      <c r="C90" s="143">
        <f>SUM(C78:C89)</f>
        <v>114270</v>
      </c>
    </row>
    <row r="91" spans="1:5" ht="25.5">
      <c r="A91" s="150" t="s">
        <v>52</v>
      </c>
      <c r="B91" s="151">
        <v>112000</v>
      </c>
      <c r="C91" s="151">
        <v>114000</v>
      </c>
    </row>
    <row r="92" spans="1:5" ht="20.100000000000001" customHeight="1">
      <c r="A92" s="338" t="s">
        <v>1064</v>
      </c>
      <c r="B92" s="339"/>
      <c r="C92" s="339"/>
      <c r="D92" s="339"/>
      <c r="E92" s="339"/>
    </row>
    <row r="93" spans="1:5" ht="27.75" customHeight="1">
      <c r="A93" s="150" t="s">
        <v>430</v>
      </c>
      <c r="B93" s="168" t="s">
        <v>4</v>
      </c>
      <c r="C93" s="168" t="s">
        <v>5</v>
      </c>
    </row>
    <row r="94" spans="1:5">
      <c r="A94" s="150" t="s">
        <v>108</v>
      </c>
      <c r="B94" s="169">
        <v>20.6</v>
      </c>
      <c r="C94" s="169">
        <v>20.7</v>
      </c>
    </row>
    <row r="95" spans="1:5" ht="25.5">
      <c r="A95" s="150" t="s">
        <v>109</v>
      </c>
      <c r="B95" s="169">
        <v>0.115</v>
      </c>
      <c r="C95" s="169">
        <v>0.11799999999999999</v>
      </c>
    </row>
    <row r="96" spans="1:5" ht="25.5">
      <c r="A96" s="150" t="s">
        <v>1188</v>
      </c>
      <c r="B96" s="169">
        <v>112</v>
      </c>
      <c r="C96" s="169">
        <v>114</v>
      </c>
    </row>
    <row r="97" spans="1:5" ht="25.5">
      <c r="A97" s="150" t="s">
        <v>1189</v>
      </c>
      <c r="B97" s="169">
        <v>33</v>
      </c>
      <c r="C97" s="169">
        <v>34.799999999999997</v>
      </c>
    </row>
    <row r="98" spans="1:5">
      <c r="A98" s="150" t="s">
        <v>107</v>
      </c>
      <c r="B98" s="169">
        <v>0.63100000000000001</v>
      </c>
      <c r="C98" s="169">
        <v>0.63600000000000001</v>
      </c>
    </row>
    <row r="99" spans="1:5">
      <c r="A99" s="150" t="s">
        <v>1187</v>
      </c>
      <c r="B99" s="169">
        <v>1.2999999999999999E-2</v>
      </c>
      <c r="C99" s="169">
        <v>1.32E-2</v>
      </c>
    </row>
    <row r="100" spans="1:5">
      <c r="A100" s="150" t="s">
        <v>1234</v>
      </c>
      <c r="B100" s="169">
        <v>13.1</v>
      </c>
      <c r="C100" s="169">
        <v>13.1</v>
      </c>
    </row>
    <row r="101" spans="1:5" ht="38.25">
      <c r="A101" s="150" t="s">
        <v>1124</v>
      </c>
      <c r="B101" s="169">
        <v>3.98</v>
      </c>
      <c r="C101" s="169">
        <v>4.0999999999999996</v>
      </c>
    </row>
    <row r="102" spans="1:5">
      <c r="A102" s="150" t="s">
        <v>1125</v>
      </c>
      <c r="B102" s="169">
        <v>6.2</v>
      </c>
      <c r="C102" s="169">
        <v>6.23</v>
      </c>
    </row>
    <row r="103" spans="1:5">
      <c r="A103" s="150" t="s">
        <v>1237</v>
      </c>
      <c r="B103" s="169">
        <v>40.5</v>
      </c>
      <c r="C103" s="169">
        <v>40.6</v>
      </c>
    </row>
    <row r="104" spans="1:5">
      <c r="A104" s="150" t="s">
        <v>1238</v>
      </c>
      <c r="B104" s="169">
        <v>138</v>
      </c>
      <c r="C104" s="169">
        <v>141</v>
      </c>
    </row>
    <row r="105" spans="1:5" ht="15.95" customHeight="1">
      <c r="A105" s="338" t="s">
        <v>13</v>
      </c>
      <c r="B105" s="339"/>
      <c r="C105" s="339"/>
      <c r="D105" s="339"/>
      <c r="E105" s="339"/>
    </row>
    <row r="106" spans="1:5" ht="30.75" customHeight="1">
      <c r="A106" s="150" t="s">
        <v>430</v>
      </c>
      <c r="B106" s="168" t="s">
        <v>4</v>
      </c>
      <c r="C106" s="168" t="s">
        <v>5</v>
      </c>
    </row>
    <row r="107" spans="1:5">
      <c r="A107" s="150" t="s">
        <v>108</v>
      </c>
      <c r="B107" s="151">
        <v>8250</v>
      </c>
      <c r="C107" s="151">
        <v>8270</v>
      </c>
    </row>
    <row r="108" spans="1:5" ht="25.5">
      <c r="A108" s="150" t="s">
        <v>109</v>
      </c>
      <c r="B108" s="150">
        <v>46.2</v>
      </c>
      <c r="C108" s="150">
        <v>47.1</v>
      </c>
    </row>
    <row r="109" spans="1:5" ht="25.5">
      <c r="A109" s="150" t="s">
        <v>1188</v>
      </c>
      <c r="B109" s="151">
        <v>44800</v>
      </c>
      <c r="C109" s="151">
        <v>45600</v>
      </c>
    </row>
    <row r="110" spans="1:5" ht="25.5">
      <c r="A110" s="150" t="s">
        <v>1189</v>
      </c>
      <c r="B110" s="151">
        <v>13200</v>
      </c>
      <c r="C110" s="151">
        <v>13900</v>
      </c>
    </row>
    <row r="111" spans="1:5">
      <c r="A111" s="150" t="s">
        <v>107</v>
      </c>
      <c r="B111" s="150">
        <v>252</v>
      </c>
      <c r="C111" s="151">
        <v>254</v>
      </c>
    </row>
    <row r="112" spans="1:5">
      <c r="A112" s="150" t="s">
        <v>1187</v>
      </c>
      <c r="B112" s="150">
        <v>5.18</v>
      </c>
      <c r="C112" s="150">
        <v>5.28</v>
      </c>
    </row>
    <row r="113" spans="1:5">
      <c r="A113" s="150" t="s">
        <v>1234</v>
      </c>
      <c r="B113" s="151">
        <v>5220</v>
      </c>
      <c r="C113" s="151">
        <v>5240</v>
      </c>
    </row>
    <row r="114" spans="1:5" ht="38.25">
      <c r="A114" s="150" t="s">
        <v>1124</v>
      </c>
      <c r="B114" s="151">
        <v>1590</v>
      </c>
      <c r="C114" s="151">
        <v>1640</v>
      </c>
    </row>
    <row r="115" spans="1:5">
      <c r="A115" s="150" t="s">
        <v>1125</v>
      </c>
      <c r="B115" s="151">
        <v>2480</v>
      </c>
      <c r="C115" s="151">
        <v>2490</v>
      </c>
    </row>
    <row r="116" spans="1:5">
      <c r="A116" s="150" t="s">
        <v>1237</v>
      </c>
      <c r="B116" s="151">
        <v>8110</v>
      </c>
      <c r="C116" s="151">
        <v>8120</v>
      </c>
    </row>
    <row r="117" spans="1:5">
      <c r="A117" s="150" t="s">
        <v>1238</v>
      </c>
      <c r="B117" s="151">
        <v>27700</v>
      </c>
      <c r="C117" s="151">
        <v>28300</v>
      </c>
    </row>
    <row r="118" spans="1:5">
      <c r="A118" s="142" t="s">
        <v>646</v>
      </c>
      <c r="B118" s="143">
        <f>SUM(B107:B117)</f>
        <v>111653.37999999999</v>
      </c>
      <c r="C118" s="143">
        <f>SUM(C107:C117)</f>
        <v>113866.38</v>
      </c>
    </row>
    <row r="119" spans="1:5" ht="25.5">
      <c r="A119" s="150" t="s">
        <v>52</v>
      </c>
      <c r="B119" s="151">
        <v>112000</v>
      </c>
      <c r="C119" s="151">
        <v>114000</v>
      </c>
    </row>
    <row r="120" spans="1:5" ht="15">
      <c r="A120" s="338" t="s">
        <v>14</v>
      </c>
      <c r="B120" s="339"/>
      <c r="C120" s="339"/>
      <c r="D120" s="339"/>
      <c r="E120" s="339"/>
    </row>
    <row r="121" spans="1:5">
      <c r="A121" s="150" t="s">
        <v>1218</v>
      </c>
      <c r="B121" s="168" t="s">
        <v>15</v>
      </c>
      <c r="C121" s="168" t="s">
        <v>16</v>
      </c>
    </row>
    <row r="122" spans="1:5">
      <c r="A122" s="150" t="s">
        <v>8</v>
      </c>
      <c r="B122" s="151">
        <v>0</v>
      </c>
      <c r="C122" s="151">
        <v>0</v>
      </c>
    </row>
    <row r="123" spans="1:5">
      <c r="A123" s="150" t="s">
        <v>78</v>
      </c>
      <c r="B123" s="151">
        <v>0</v>
      </c>
      <c r="C123" s="151">
        <v>0</v>
      </c>
    </row>
    <row r="124" spans="1:5" ht="25.5">
      <c r="A124" s="150" t="s">
        <v>79</v>
      </c>
      <c r="B124" s="151">
        <v>0</v>
      </c>
      <c r="C124" s="151">
        <v>0</v>
      </c>
    </row>
    <row r="125" spans="1:5" ht="25.5">
      <c r="A125" s="162" t="s">
        <v>86</v>
      </c>
      <c r="B125" s="150">
        <v>440</v>
      </c>
      <c r="C125" s="150">
        <v>440</v>
      </c>
    </row>
    <row r="126" spans="1:5">
      <c r="A126" s="150" t="s">
        <v>11</v>
      </c>
      <c r="B126" s="150">
        <v>0</v>
      </c>
      <c r="C126" s="150">
        <v>0</v>
      </c>
    </row>
    <row r="127" spans="1:5">
      <c r="A127" s="150" t="s">
        <v>87</v>
      </c>
      <c r="B127" s="151">
        <v>0</v>
      </c>
      <c r="C127" s="151">
        <v>0</v>
      </c>
    </row>
    <row r="128" spans="1:5">
      <c r="A128" s="150" t="s">
        <v>88</v>
      </c>
      <c r="B128" s="150">
        <v>0</v>
      </c>
      <c r="C128" s="150">
        <v>0</v>
      </c>
    </row>
    <row r="129" spans="1:5" ht="25.5">
      <c r="A129" s="150" t="s">
        <v>89</v>
      </c>
      <c r="B129" s="150">
        <v>0</v>
      </c>
      <c r="C129" s="150">
        <v>0</v>
      </c>
    </row>
    <row r="130" spans="1:5" ht="38.25">
      <c r="A130" s="150" t="s">
        <v>90</v>
      </c>
      <c r="B130" s="150">
        <v>0</v>
      </c>
      <c r="C130" s="150">
        <v>0</v>
      </c>
    </row>
    <row r="131" spans="1:5">
      <c r="A131" s="150" t="s">
        <v>1182</v>
      </c>
      <c r="B131" s="151">
        <v>101000</v>
      </c>
      <c r="C131" s="151">
        <v>101000</v>
      </c>
    </row>
    <row r="132" spans="1:5">
      <c r="A132" s="150" t="s">
        <v>1224</v>
      </c>
      <c r="B132" s="151">
        <v>2280</v>
      </c>
      <c r="C132" s="151">
        <v>2280</v>
      </c>
    </row>
    <row r="133" spans="1:5">
      <c r="A133" s="150" t="s">
        <v>91</v>
      </c>
      <c r="B133" s="151">
        <v>8270</v>
      </c>
      <c r="C133" s="151">
        <v>18400</v>
      </c>
    </row>
    <row r="134" spans="1:5">
      <c r="A134" s="142" t="s">
        <v>646</v>
      </c>
      <c r="B134" s="143">
        <f>SUM(B122:B133)</f>
        <v>111990</v>
      </c>
      <c r="C134" s="143">
        <f>SUM(C122:C133)</f>
        <v>122120</v>
      </c>
    </row>
    <row r="135" spans="1:5" ht="25.5">
      <c r="A135" s="150" t="s">
        <v>52</v>
      </c>
      <c r="B135" s="151">
        <v>112000</v>
      </c>
      <c r="C135" s="151">
        <v>114000</v>
      </c>
    </row>
    <row r="136" spans="1:5" ht="23.25" customHeight="1">
      <c r="A136" s="338" t="s">
        <v>17</v>
      </c>
      <c r="B136" s="339"/>
      <c r="C136" s="339"/>
      <c r="D136" s="339"/>
      <c r="E136" s="339"/>
    </row>
    <row r="137" spans="1:5" ht="25.5">
      <c r="A137" s="150" t="s">
        <v>430</v>
      </c>
      <c r="B137" s="168" t="s">
        <v>18</v>
      </c>
      <c r="C137" s="168" t="s">
        <v>1164</v>
      </c>
    </row>
    <row r="138" spans="1:5">
      <c r="A138" s="150" t="s">
        <v>108</v>
      </c>
      <c r="B138" s="169">
        <v>20.6</v>
      </c>
      <c r="C138" s="169">
        <v>21.3</v>
      </c>
    </row>
    <row r="139" spans="1:5" ht="25.5">
      <c r="A139" s="150" t="s">
        <v>109</v>
      </c>
      <c r="B139" s="169">
        <v>0.115</v>
      </c>
      <c r="C139" s="169">
        <v>0.126</v>
      </c>
    </row>
    <row r="140" spans="1:5" ht="25.5">
      <c r="A140" s="150" t="s">
        <v>1188</v>
      </c>
      <c r="B140" s="169">
        <v>112</v>
      </c>
      <c r="C140" s="169">
        <v>121</v>
      </c>
    </row>
    <row r="141" spans="1:5" ht="25.5">
      <c r="A141" s="150" t="s">
        <v>1189</v>
      </c>
      <c r="B141" s="169">
        <v>33</v>
      </c>
      <c r="C141" s="169">
        <v>35.1</v>
      </c>
    </row>
    <row r="142" spans="1:5">
      <c r="A142" s="150" t="s">
        <v>107</v>
      </c>
      <c r="B142" s="169">
        <v>0.63100000000000001</v>
      </c>
      <c r="C142" s="169">
        <v>0.65200000000000002</v>
      </c>
    </row>
    <row r="143" spans="1:5">
      <c r="A143" s="150" t="s">
        <v>1187</v>
      </c>
      <c r="B143" s="169">
        <v>1.2999999999999999E-2</v>
      </c>
      <c r="C143" s="169">
        <v>1.84E-2</v>
      </c>
    </row>
    <row r="144" spans="1:5">
      <c r="A144" s="150" t="s">
        <v>1234</v>
      </c>
      <c r="B144" s="169">
        <v>13.1</v>
      </c>
      <c r="C144" s="169">
        <v>13.5</v>
      </c>
    </row>
    <row r="145" spans="1:5" ht="38.25">
      <c r="A145" s="150" t="s">
        <v>1124</v>
      </c>
      <c r="B145" s="169">
        <v>3.98</v>
      </c>
      <c r="C145" s="169">
        <v>4.33</v>
      </c>
    </row>
    <row r="146" spans="1:5">
      <c r="A146" s="150" t="s">
        <v>1125</v>
      </c>
      <c r="B146" s="169">
        <v>6.2</v>
      </c>
      <c r="C146" s="169">
        <v>5.82</v>
      </c>
    </row>
    <row r="147" spans="1:5">
      <c r="A147" s="150" t="s">
        <v>1237</v>
      </c>
      <c r="B147" s="169">
        <v>40.5</v>
      </c>
      <c r="C147" s="169">
        <v>41.2</v>
      </c>
    </row>
    <row r="148" spans="1:5">
      <c r="A148" s="150" t="s">
        <v>1238</v>
      </c>
      <c r="B148" s="169">
        <v>138</v>
      </c>
      <c r="C148" s="169">
        <v>163</v>
      </c>
    </row>
    <row r="149" spans="1:5" ht="15">
      <c r="A149" s="338" t="s">
        <v>1165</v>
      </c>
      <c r="B149" s="339"/>
      <c r="C149" s="339"/>
      <c r="D149" s="339"/>
      <c r="E149" s="339"/>
    </row>
    <row r="150" spans="1:5" ht="25.5">
      <c r="A150" s="150" t="s">
        <v>430</v>
      </c>
      <c r="B150" s="168" t="s">
        <v>18</v>
      </c>
      <c r="C150" s="168" t="s">
        <v>1164</v>
      </c>
    </row>
    <row r="151" spans="1:5">
      <c r="A151" s="150" t="s">
        <v>108</v>
      </c>
      <c r="B151" s="151">
        <v>8250</v>
      </c>
      <c r="C151" s="151">
        <v>8510</v>
      </c>
    </row>
    <row r="152" spans="1:5" ht="25.5">
      <c r="A152" s="150" t="s">
        <v>109</v>
      </c>
      <c r="B152" s="150">
        <v>46.2</v>
      </c>
      <c r="C152" s="150">
        <v>50.2</v>
      </c>
    </row>
    <row r="153" spans="1:5" ht="25.5">
      <c r="A153" s="150" t="s">
        <v>1188</v>
      </c>
      <c r="B153" s="151">
        <v>44800</v>
      </c>
      <c r="C153" s="151">
        <v>48600</v>
      </c>
    </row>
    <row r="154" spans="1:5" ht="25.5">
      <c r="A154" s="150" t="s">
        <v>1189</v>
      </c>
      <c r="B154" s="151">
        <v>13200</v>
      </c>
      <c r="C154" s="151">
        <v>14100</v>
      </c>
    </row>
    <row r="155" spans="1:5">
      <c r="A155" s="150" t="s">
        <v>107</v>
      </c>
      <c r="B155" s="150">
        <v>252</v>
      </c>
      <c r="C155" s="151">
        <v>261</v>
      </c>
    </row>
    <row r="156" spans="1:5">
      <c r="A156" s="150" t="s">
        <v>1187</v>
      </c>
      <c r="B156" s="150">
        <v>5.18</v>
      </c>
      <c r="C156" s="150">
        <v>7.36</v>
      </c>
    </row>
    <row r="157" spans="1:5">
      <c r="A157" s="150" t="s">
        <v>1234</v>
      </c>
      <c r="B157" s="151">
        <v>5220</v>
      </c>
      <c r="C157" s="151">
        <v>5380</v>
      </c>
    </row>
    <row r="158" spans="1:5" ht="38.25">
      <c r="A158" s="150" t="s">
        <v>1124</v>
      </c>
      <c r="B158" s="151">
        <v>1590</v>
      </c>
      <c r="C158" s="151">
        <v>1730</v>
      </c>
    </row>
    <row r="159" spans="1:5">
      <c r="A159" s="150" t="s">
        <v>1125</v>
      </c>
      <c r="B159" s="151">
        <v>2480</v>
      </c>
      <c r="C159" s="151">
        <v>2330</v>
      </c>
    </row>
    <row r="160" spans="1:5">
      <c r="A160" s="150" t="s">
        <v>1237</v>
      </c>
      <c r="B160" s="151">
        <v>8110</v>
      </c>
      <c r="C160" s="151">
        <v>8250</v>
      </c>
    </row>
    <row r="161" spans="1:5">
      <c r="A161" s="150" t="s">
        <v>1238</v>
      </c>
      <c r="B161" s="151">
        <v>27700</v>
      </c>
      <c r="C161" s="151">
        <v>32600</v>
      </c>
    </row>
    <row r="162" spans="1:5">
      <c r="A162" s="142" t="s">
        <v>646</v>
      </c>
      <c r="B162" s="143">
        <f>SUM(B151:B161)</f>
        <v>111653.37999999999</v>
      </c>
      <c r="C162" s="143">
        <f>SUM(C151:C161)</f>
        <v>121818.56</v>
      </c>
    </row>
    <row r="163" spans="1:5" ht="25.5">
      <c r="A163" s="150" t="s">
        <v>52</v>
      </c>
      <c r="B163" s="151">
        <v>112000</v>
      </c>
      <c r="C163" s="151">
        <v>122000</v>
      </c>
    </row>
    <row r="164" spans="1:5" ht="15">
      <c r="A164" s="338" t="s">
        <v>1167</v>
      </c>
      <c r="B164" s="339"/>
      <c r="C164" s="339"/>
      <c r="D164" s="339"/>
      <c r="E164" s="339"/>
    </row>
    <row r="165" spans="1:5" ht="25.5">
      <c r="A165" s="150" t="s">
        <v>1218</v>
      </c>
      <c r="B165" s="168" t="s">
        <v>1158</v>
      </c>
      <c r="C165" s="168" t="s">
        <v>1166</v>
      </c>
    </row>
    <row r="166" spans="1:5">
      <c r="A166" s="150" t="s">
        <v>8</v>
      </c>
      <c r="B166" s="151">
        <v>0</v>
      </c>
      <c r="C166" s="151">
        <v>0</v>
      </c>
    </row>
    <row r="167" spans="1:5">
      <c r="A167" s="150" t="s">
        <v>78</v>
      </c>
      <c r="B167" s="151">
        <v>0</v>
      </c>
      <c r="C167" s="151">
        <v>0</v>
      </c>
    </row>
    <row r="168" spans="1:5" ht="25.5">
      <c r="A168" s="150" t="s">
        <v>79</v>
      </c>
      <c r="B168" s="151">
        <v>0</v>
      </c>
      <c r="C168" s="151">
        <v>0</v>
      </c>
    </row>
    <row r="169" spans="1:5" ht="25.5">
      <c r="A169" s="162" t="s">
        <v>86</v>
      </c>
      <c r="B169" s="150">
        <v>440</v>
      </c>
      <c r="C169" s="150">
        <v>440</v>
      </c>
    </row>
    <row r="170" spans="1:5">
      <c r="A170" s="150" t="s">
        <v>11</v>
      </c>
      <c r="B170" s="150">
        <v>0</v>
      </c>
      <c r="C170" s="150">
        <v>0</v>
      </c>
    </row>
    <row r="171" spans="1:5">
      <c r="A171" s="150" t="s">
        <v>87</v>
      </c>
      <c r="B171" s="151">
        <v>0</v>
      </c>
      <c r="C171" s="151">
        <v>0</v>
      </c>
    </row>
    <row r="172" spans="1:5">
      <c r="A172" s="150" t="s">
        <v>88</v>
      </c>
      <c r="B172" s="150">
        <v>0</v>
      </c>
      <c r="C172" s="150">
        <v>0</v>
      </c>
    </row>
    <row r="173" spans="1:5" ht="25.5">
      <c r="A173" s="150" t="s">
        <v>89</v>
      </c>
      <c r="B173" s="150">
        <v>0</v>
      </c>
      <c r="C173" s="150">
        <v>0</v>
      </c>
    </row>
    <row r="174" spans="1:5" ht="38.25">
      <c r="A174" s="150" t="s">
        <v>90</v>
      </c>
      <c r="B174" s="150">
        <v>0</v>
      </c>
      <c r="C174" s="150">
        <v>0</v>
      </c>
    </row>
    <row r="175" spans="1:5">
      <c r="A175" s="150" t="s">
        <v>1182</v>
      </c>
      <c r="B175" s="151">
        <v>101000</v>
      </c>
      <c r="C175" s="151">
        <v>891</v>
      </c>
    </row>
    <row r="176" spans="1:5">
      <c r="A176" s="150" t="s">
        <v>1224</v>
      </c>
      <c r="B176" s="151">
        <v>2280</v>
      </c>
      <c r="C176" s="151">
        <v>2280</v>
      </c>
    </row>
    <row r="177" spans="1:5">
      <c r="A177" s="150" t="s">
        <v>91</v>
      </c>
      <c r="B177" s="151">
        <v>18400</v>
      </c>
      <c r="C177" s="151">
        <v>18400</v>
      </c>
    </row>
    <row r="178" spans="1:5">
      <c r="A178" s="142" t="s">
        <v>646</v>
      </c>
      <c r="B178" s="143">
        <f>SUM(B166:B177)</f>
        <v>122120</v>
      </c>
      <c r="C178" s="143">
        <f>SUM(C166:C177)</f>
        <v>22011</v>
      </c>
    </row>
    <row r="179" spans="1:5" ht="25.5">
      <c r="A179" s="150" t="s">
        <v>52</v>
      </c>
      <c r="B179" s="151">
        <v>122000</v>
      </c>
      <c r="C179" s="151">
        <v>22000</v>
      </c>
    </row>
    <row r="180" spans="1:5" ht="24" customHeight="1">
      <c r="A180" s="338" t="s">
        <v>1168</v>
      </c>
      <c r="B180" s="339"/>
      <c r="C180" s="339"/>
      <c r="D180" s="339"/>
      <c r="E180" s="339"/>
    </row>
    <row r="181" spans="1:5" ht="25.5">
      <c r="A181" s="150" t="s">
        <v>430</v>
      </c>
      <c r="B181" s="168" t="s">
        <v>1158</v>
      </c>
      <c r="C181" s="168" t="s">
        <v>1166</v>
      </c>
    </row>
    <row r="182" spans="1:5">
      <c r="A182" s="150" t="s">
        <v>108</v>
      </c>
      <c r="B182" s="169">
        <v>21.6</v>
      </c>
      <c r="C182" s="169">
        <v>1.26</v>
      </c>
    </row>
    <row r="183" spans="1:5" ht="25.5">
      <c r="A183" s="150" t="s">
        <v>109</v>
      </c>
      <c r="B183" s="169">
        <v>0.126</v>
      </c>
      <c r="C183" s="169">
        <v>2.3E-2</v>
      </c>
    </row>
    <row r="184" spans="1:5" ht="25.5">
      <c r="A184" s="150" t="s">
        <v>1188</v>
      </c>
      <c r="B184" s="169">
        <v>121</v>
      </c>
      <c r="C184" s="169">
        <v>20.5</v>
      </c>
    </row>
    <row r="185" spans="1:5" ht="25.5">
      <c r="A185" s="150" t="s">
        <v>1189</v>
      </c>
      <c r="B185" s="169">
        <v>35.1</v>
      </c>
      <c r="C185" s="169">
        <v>5.86</v>
      </c>
    </row>
    <row r="186" spans="1:5">
      <c r="A186" s="150" t="s">
        <v>107</v>
      </c>
      <c r="B186" s="169">
        <v>0.65200000000000002</v>
      </c>
      <c r="C186" s="169">
        <v>4.4400000000000002E-2</v>
      </c>
    </row>
    <row r="187" spans="1:5">
      <c r="A187" s="150" t="s">
        <v>1187</v>
      </c>
      <c r="B187" s="169">
        <v>1.84E-2</v>
      </c>
      <c r="C187" s="169">
        <v>1.04E-2</v>
      </c>
    </row>
    <row r="188" spans="1:5">
      <c r="A188" s="150" t="s">
        <v>1234</v>
      </c>
      <c r="B188" s="169">
        <v>13.5</v>
      </c>
      <c r="C188" s="169">
        <v>0.78700000000000003</v>
      </c>
    </row>
    <row r="189" spans="1:5" ht="38.25">
      <c r="A189" s="150" t="s">
        <v>1124</v>
      </c>
      <c r="B189" s="169">
        <v>4.33</v>
      </c>
      <c r="C189" s="169">
        <v>0.82699999999999996</v>
      </c>
    </row>
    <row r="190" spans="1:5">
      <c r="A190" s="150" t="s">
        <v>1125</v>
      </c>
      <c r="B190" s="169">
        <v>5.82</v>
      </c>
      <c r="C190" s="169">
        <v>0.01</v>
      </c>
    </row>
    <row r="191" spans="1:5">
      <c r="A191" s="150" t="s">
        <v>1237</v>
      </c>
      <c r="B191" s="169">
        <v>41.2</v>
      </c>
      <c r="C191" s="169">
        <v>1.36</v>
      </c>
    </row>
    <row r="192" spans="1:5">
      <c r="A192" s="150" t="s">
        <v>1238</v>
      </c>
      <c r="B192" s="169">
        <v>163</v>
      </c>
      <c r="C192" s="169">
        <v>51.6</v>
      </c>
    </row>
    <row r="193" spans="1:5" ht="23.25" customHeight="1">
      <c r="A193" s="338" t="s">
        <v>1169</v>
      </c>
      <c r="B193" s="339"/>
      <c r="C193" s="339"/>
      <c r="D193" s="339"/>
      <c r="E193" s="339"/>
    </row>
    <row r="194" spans="1:5" ht="25.5">
      <c r="A194" s="150" t="s">
        <v>430</v>
      </c>
      <c r="B194" s="168" t="s">
        <v>1158</v>
      </c>
      <c r="C194" s="168" t="s">
        <v>1166</v>
      </c>
    </row>
    <row r="195" spans="1:5">
      <c r="A195" s="150" t="s">
        <v>108</v>
      </c>
      <c r="B195" s="151">
        <v>8510</v>
      </c>
      <c r="C195" s="169">
        <v>503</v>
      </c>
    </row>
    <row r="196" spans="1:5" ht="25.5">
      <c r="A196" s="150" t="s">
        <v>109</v>
      </c>
      <c r="B196" s="150">
        <v>50.2</v>
      </c>
      <c r="C196" s="169">
        <v>9.19</v>
      </c>
    </row>
    <row r="197" spans="1:5" ht="25.5">
      <c r="A197" s="150" t="s">
        <v>1188</v>
      </c>
      <c r="B197" s="151">
        <v>48600</v>
      </c>
      <c r="C197" s="169">
        <v>8.2100000000000009</v>
      </c>
    </row>
    <row r="198" spans="1:5" ht="25.5">
      <c r="A198" s="150" t="s">
        <v>1189</v>
      </c>
      <c r="B198" s="151">
        <v>14100</v>
      </c>
      <c r="C198" s="169">
        <v>2.34</v>
      </c>
    </row>
    <row r="199" spans="1:5">
      <c r="A199" s="150" t="s">
        <v>107</v>
      </c>
      <c r="B199" s="151">
        <v>261</v>
      </c>
      <c r="C199" s="169">
        <v>17.8</v>
      </c>
    </row>
    <row r="200" spans="1:5">
      <c r="A200" s="150" t="s">
        <v>1187</v>
      </c>
      <c r="B200" s="150">
        <v>7.36</v>
      </c>
      <c r="C200" s="169">
        <v>4.17</v>
      </c>
    </row>
    <row r="201" spans="1:5">
      <c r="A201" s="150" t="s">
        <v>1234</v>
      </c>
      <c r="B201" s="151">
        <v>5380</v>
      </c>
      <c r="C201" s="169">
        <v>315</v>
      </c>
    </row>
    <row r="202" spans="1:5" ht="38.25">
      <c r="A202" s="150" t="s">
        <v>1124</v>
      </c>
      <c r="B202" s="151">
        <v>1730</v>
      </c>
      <c r="C202" s="169">
        <v>331</v>
      </c>
    </row>
    <row r="203" spans="1:5">
      <c r="A203" s="150" t="s">
        <v>1125</v>
      </c>
      <c r="B203" s="151">
        <v>2330</v>
      </c>
      <c r="C203" s="169">
        <v>3.82</v>
      </c>
    </row>
    <row r="204" spans="1:5">
      <c r="A204" s="150" t="s">
        <v>1237</v>
      </c>
      <c r="B204" s="151">
        <v>8250</v>
      </c>
      <c r="C204" s="169">
        <v>272</v>
      </c>
    </row>
    <row r="205" spans="1:5">
      <c r="A205" s="150" t="s">
        <v>1238</v>
      </c>
      <c r="B205" s="151">
        <v>32600</v>
      </c>
      <c r="C205" s="169">
        <v>10300</v>
      </c>
    </row>
    <row r="206" spans="1:5">
      <c r="A206" s="142" t="s">
        <v>646</v>
      </c>
      <c r="B206" s="143">
        <f>SUM(B195:B205)</f>
        <v>121818.56</v>
      </c>
      <c r="C206" s="143">
        <f>SUM(C195:C205)</f>
        <v>11766.53</v>
      </c>
    </row>
    <row r="207" spans="1:5" ht="25.5">
      <c r="A207" s="150" t="s">
        <v>52</v>
      </c>
      <c r="B207" s="151">
        <v>122000</v>
      </c>
      <c r="C207" s="151">
        <v>22000</v>
      </c>
    </row>
    <row r="208" spans="1:5" ht="15">
      <c r="A208" s="344" t="s">
        <v>553</v>
      </c>
      <c r="B208" s="345"/>
      <c r="C208" s="345"/>
      <c r="D208" s="345"/>
      <c r="E208" s="345"/>
    </row>
    <row r="209" spans="1:5">
      <c r="A209" s="150" t="s">
        <v>1218</v>
      </c>
      <c r="B209" s="168" t="s">
        <v>809</v>
      </c>
      <c r="C209" s="168" t="s">
        <v>810</v>
      </c>
      <c r="D209" s="168" t="s">
        <v>811</v>
      </c>
      <c r="E209" s="168" t="s">
        <v>812</v>
      </c>
    </row>
    <row r="210" spans="1:5">
      <c r="A210" s="150" t="s">
        <v>8</v>
      </c>
      <c r="B210" s="151">
        <v>0</v>
      </c>
      <c r="C210" s="151">
        <v>0</v>
      </c>
      <c r="D210" s="151">
        <v>0</v>
      </c>
      <c r="E210" s="151">
        <v>0</v>
      </c>
    </row>
    <row r="211" spans="1:5">
      <c r="A211" s="150" t="s">
        <v>78</v>
      </c>
      <c r="B211" s="151">
        <v>0</v>
      </c>
      <c r="C211" s="151">
        <v>0</v>
      </c>
      <c r="D211" s="151">
        <v>0</v>
      </c>
      <c r="E211" s="151">
        <v>0</v>
      </c>
    </row>
    <row r="212" spans="1:5" ht="25.5">
      <c r="A212" s="150" t="s">
        <v>79</v>
      </c>
      <c r="B212" s="151">
        <v>0</v>
      </c>
      <c r="C212" s="151">
        <v>0</v>
      </c>
      <c r="D212" s="151">
        <v>0</v>
      </c>
      <c r="E212" s="151">
        <v>0</v>
      </c>
    </row>
    <row r="213" spans="1:5" ht="25.5">
      <c r="A213" s="162" t="s">
        <v>86</v>
      </c>
      <c r="B213" s="150">
        <v>440</v>
      </c>
      <c r="C213" s="150">
        <v>440</v>
      </c>
      <c r="D213" s="150">
        <v>440</v>
      </c>
      <c r="E213" s="150">
        <v>440</v>
      </c>
    </row>
    <row r="214" spans="1:5">
      <c r="A214" s="150" t="s">
        <v>11</v>
      </c>
      <c r="B214" s="150">
        <v>0</v>
      </c>
      <c r="C214" s="150">
        <v>0</v>
      </c>
      <c r="D214" s="150">
        <v>0</v>
      </c>
      <c r="E214" s="150">
        <v>0</v>
      </c>
    </row>
    <row r="215" spans="1:5">
      <c r="A215" s="150" t="s">
        <v>87</v>
      </c>
      <c r="B215" s="151">
        <v>0</v>
      </c>
      <c r="C215" s="151">
        <v>0</v>
      </c>
      <c r="D215" s="151">
        <v>0</v>
      </c>
      <c r="E215" s="151">
        <v>0</v>
      </c>
    </row>
    <row r="216" spans="1:5">
      <c r="A216" s="150" t="s">
        <v>88</v>
      </c>
      <c r="B216" s="150">
        <v>0</v>
      </c>
      <c r="C216" s="150">
        <v>0</v>
      </c>
      <c r="D216" s="150">
        <v>0</v>
      </c>
      <c r="E216" s="150">
        <v>0</v>
      </c>
    </row>
    <row r="217" spans="1:5" ht="25.5">
      <c r="A217" s="150" t="s">
        <v>89</v>
      </c>
      <c r="B217" s="150">
        <v>0</v>
      </c>
      <c r="C217" s="150">
        <v>0</v>
      </c>
      <c r="D217" s="150">
        <v>0</v>
      </c>
      <c r="E217" s="150">
        <v>0</v>
      </c>
    </row>
    <row r="218" spans="1:5" ht="38.25">
      <c r="A218" s="150" t="s">
        <v>90</v>
      </c>
      <c r="B218" s="150">
        <v>0</v>
      </c>
      <c r="C218" s="150">
        <v>0</v>
      </c>
      <c r="D218" s="150">
        <v>0</v>
      </c>
      <c r="E218" s="150">
        <v>0</v>
      </c>
    </row>
    <row r="219" spans="1:5">
      <c r="A219" s="150" t="s">
        <v>1182</v>
      </c>
      <c r="B219" s="151">
        <v>101000</v>
      </c>
      <c r="C219" s="151">
        <v>101000</v>
      </c>
      <c r="D219" s="151">
        <v>101000</v>
      </c>
      <c r="E219" s="151">
        <v>101000</v>
      </c>
    </row>
    <row r="220" spans="1:5">
      <c r="A220" s="150" t="s">
        <v>1224</v>
      </c>
      <c r="B220" s="151">
        <v>2280</v>
      </c>
      <c r="C220" s="151">
        <v>2280</v>
      </c>
      <c r="D220" s="151">
        <v>2280</v>
      </c>
      <c r="E220" s="151">
        <v>2280</v>
      </c>
    </row>
    <row r="221" spans="1:5">
      <c r="A221" s="150" t="s">
        <v>91</v>
      </c>
      <c r="B221" s="151">
        <v>18400</v>
      </c>
      <c r="C221" s="151">
        <v>269</v>
      </c>
      <c r="D221" s="151">
        <v>304</v>
      </c>
      <c r="E221" s="151">
        <v>357</v>
      </c>
    </row>
    <row r="222" spans="1:5">
      <c r="A222" s="142" t="s">
        <v>646</v>
      </c>
      <c r="B222" s="143">
        <f>SUM(B210:B221)</f>
        <v>122120</v>
      </c>
      <c r="C222" s="143">
        <f>SUM(C210:C221)</f>
        <v>103989</v>
      </c>
      <c r="D222" s="143">
        <f>SUM(D210:D221)</f>
        <v>104024</v>
      </c>
      <c r="E222" s="143">
        <f>SUM(E210:E221)</f>
        <v>104077</v>
      </c>
    </row>
    <row r="223" spans="1:5" ht="25.5">
      <c r="A223" s="150" t="s">
        <v>52</v>
      </c>
      <c r="B223" s="151">
        <v>122000</v>
      </c>
      <c r="C223" s="151">
        <v>104000</v>
      </c>
      <c r="D223" s="151">
        <v>104000</v>
      </c>
      <c r="E223" s="151">
        <v>104000</v>
      </c>
    </row>
    <row r="224" spans="1:5" ht="15" customHeight="1">
      <c r="A224" s="344" t="s">
        <v>807</v>
      </c>
      <c r="B224" s="345"/>
      <c r="C224" s="345"/>
      <c r="D224" s="345"/>
      <c r="E224" s="345"/>
    </row>
    <row r="225" spans="1:5" ht="25.5">
      <c r="A225" s="150" t="s">
        <v>430</v>
      </c>
      <c r="B225" s="168" t="s">
        <v>809</v>
      </c>
      <c r="C225" s="168" t="s">
        <v>810</v>
      </c>
      <c r="D225" s="168" t="s">
        <v>811</v>
      </c>
      <c r="E225" s="168" t="s">
        <v>812</v>
      </c>
    </row>
    <row r="226" spans="1:5">
      <c r="A226" s="150" t="s">
        <v>108</v>
      </c>
      <c r="B226" s="170">
        <v>21.6</v>
      </c>
      <c r="C226" s="170">
        <v>20.100000000000001</v>
      </c>
      <c r="D226" s="170">
        <v>20.100000000000001</v>
      </c>
      <c r="E226" s="170">
        <v>20.100000000000001</v>
      </c>
    </row>
    <row r="227" spans="1:5" ht="25.5">
      <c r="A227" s="150" t="s">
        <v>109</v>
      </c>
      <c r="B227" s="170">
        <v>0.126</v>
      </c>
      <c r="C227" s="170">
        <v>0.108</v>
      </c>
      <c r="D227" s="170">
        <v>0.108</v>
      </c>
      <c r="E227" s="170">
        <v>0.108</v>
      </c>
    </row>
    <row r="228" spans="1:5" ht="25.5">
      <c r="A228" s="150" t="s">
        <v>1188</v>
      </c>
      <c r="B228" s="170">
        <v>121</v>
      </c>
      <c r="C228" s="170">
        <v>105</v>
      </c>
      <c r="D228" s="170">
        <v>105</v>
      </c>
      <c r="E228" s="170">
        <v>105</v>
      </c>
    </row>
    <row r="229" spans="1:5" ht="25.5">
      <c r="A229" s="150" t="s">
        <v>1189</v>
      </c>
      <c r="B229" s="170">
        <v>35.1</v>
      </c>
      <c r="C229" s="170">
        <v>31.4</v>
      </c>
      <c r="D229" s="170">
        <v>31.4</v>
      </c>
      <c r="E229" s="170">
        <v>31.4</v>
      </c>
    </row>
    <row r="230" spans="1:5">
      <c r="A230" s="150" t="s">
        <v>107</v>
      </c>
      <c r="B230" s="170">
        <v>0.65200000000000002</v>
      </c>
      <c r="C230" s="170">
        <v>0.61499999999999999</v>
      </c>
      <c r="D230" s="170">
        <v>0.61599999999999999</v>
      </c>
      <c r="E230" s="170">
        <v>0.61399999999999999</v>
      </c>
    </row>
    <row r="231" spans="1:5">
      <c r="A231" s="150" t="s">
        <v>1187</v>
      </c>
      <c r="B231" s="170">
        <v>0.184</v>
      </c>
      <c r="C231" s="170">
        <v>8.5400000000000007E-3</v>
      </c>
      <c r="D231" s="170">
        <v>8.5500000000000003E-3</v>
      </c>
      <c r="E231" s="170">
        <v>8.5500000000000003E-3</v>
      </c>
    </row>
    <row r="232" spans="1:5">
      <c r="A232" s="150" t="s">
        <v>1234</v>
      </c>
      <c r="B232" s="170">
        <v>13.5</v>
      </c>
      <c r="C232" s="170">
        <v>12.7</v>
      </c>
      <c r="D232" s="170">
        <v>12.7</v>
      </c>
      <c r="E232" s="170">
        <v>12.7</v>
      </c>
    </row>
    <row r="233" spans="1:5" ht="38.25">
      <c r="A233" s="150" t="s">
        <v>1124</v>
      </c>
      <c r="B233" s="170">
        <v>4.33</v>
      </c>
      <c r="C233" s="170">
        <v>3.72</v>
      </c>
      <c r="D233" s="170">
        <v>3.72</v>
      </c>
      <c r="E233" s="170">
        <v>3.73</v>
      </c>
    </row>
    <row r="234" spans="1:5">
      <c r="A234" s="150" t="s">
        <v>1125</v>
      </c>
      <c r="B234" s="170">
        <v>5.82</v>
      </c>
      <c r="C234" s="170">
        <v>6.52</v>
      </c>
      <c r="D234" s="170">
        <v>6.52</v>
      </c>
      <c r="E234" s="170">
        <v>6.58</v>
      </c>
    </row>
    <row r="235" spans="1:5">
      <c r="A235" s="150" t="s">
        <v>1237</v>
      </c>
      <c r="B235" s="170">
        <v>41.2</v>
      </c>
      <c r="C235" s="170">
        <v>40</v>
      </c>
      <c r="D235" s="170">
        <v>40</v>
      </c>
      <c r="E235" s="170">
        <v>40</v>
      </c>
    </row>
    <row r="236" spans="1:5">
      <c r="A236" s="150" t="s">
        <v>1238</v>
      </c>
      <c r="B236" s="170">
        <v>163</v>
      </c>
      <c r="C236" s="170">
        <v>119</v>
      </c>
      <c r="D236" s="170">
        <v>119</v>
      </c>
      <c r="E236" s="170">
        <v>119</v>
      </c>
    </row>
    <row r="237" spans="1:5" ht="17.25" customHeight="1">
      <c r="A237" s="344" t="s">
        <v>808</v>
      </c>
      <c r="B237" s="345"/>
      <c r="C237" s="345"/>
      <c r="D237" s="345"/>
      <c r="E237" s="345"/>
    </row>
    <row r="238" spans="1:5" ht="25.5">
      <c r="A238" s="150" t="s">
        <v>430</v>
      </c>
      <c r="B238" s="168" t="s">
        <v>809</v>
      </c>
      <c r="C238" s="168" t="s">
        <v>810</v>
      </c>
      <c r="D238" s="168" t="s">
        <v>811</v>
      </c>
      <c r="E238" s="168" t="s">
        <v>812</v>
      </c>
    </row>
    <row r="239" spans="1:5">
      <c r="A239" s="150" t="s">
        <v>108</v>
      </c>
      <c r="B239" s="151">
        <v>8510</v>
      </c>
      <c r="C239" s="151">
        <v>8040</v>
      </c>
      <c r="D239" s="151">
        <v>8040</v>
      </c>
      <c r="E239" s="151">
        <v>8040</v>
      </c>
    </row>
    <row r="240" spans="1:5" ht="25.5">
      <c r="A240" s="150" t="s">
        <v>109</v>
      </c>
      <c r="B240" s="150">
        <v>50.2</v>
      </c>
      <c r="C240" s="150">
        <v>43</v>
      </c>
      <c r="D240" s="150">
        <v>43</v>
      </c>
      <c r="E240" s="150">
        <v>43.1</v>
      </c>
    </row>
    <row r="241" spans="1:5" ht="25.5">
      <c r="A241" s="150" t="s">
        <v>1188</v>
      </c>
      <c r="B241" s="151">
        <v>48600</v>
      </c>
      <c r="C241" s="151">
        <v>41800</v>
      </c>
      <c r="D241" s="151">
        <v>41800</v>
      </c>
      <c r="E241" s="151">
        <v>41900</v>
      </c>
    </row>
    <row r="242" spans="1:5" ht="25.5">
      <c r="A242" s="150" t="s">
        <v>1189</v>
      </c>
      <c r="B242" s="151">
        <v>14100</v>
      </c>
      <c r="C242" s="151">
        <v>12500</v>
      </c>
      <c r="D242" s="151">
        <v>12500</v>
      </c>
      <c r="E242" s="151">
        <v>12500</v>
      </c>
    </row>
    <row r="243" spans="1:5">
      <c r="A243" s="150" t="s">
        <v>107</v>
      </c>
      <c r="B243" s="150">
        <v>261</v>
      </c>
      <c r="C243" s="150">
        <v>246</v>
      </c>
      <c r="D243" s="150">
        <v>246</v>
      </c>
      <c r="E243" s="150">
        <v>245</v>
      </c>
    </row>
    <row r="244" spans="1:5">
      <c r="A244" s="150" t="s">
        <v>1187</v>
      </c>
      <c r="B244" s="150">
        <v>7.36</v>
      </c>
      <c r="C244" s="150">
        <v>3.42</v>
      </c>
      <c r="D244" s="150">
        <v>3.42</v>
      </c>
      <c r="E244" s="150">
        <v>3.42</v>
      </c>
    </row>
    <row r="245" spans="1:5">
      <c r="A245" s="150" t="s">
        <v>1234</v>
      </c>
      <c r="B245" s="151">
        <v>5380</v>
      </c>
      <c r="C245" s="151">
        <v>5100</v>
      </c>
      <c r="D245" s="151">
        <v>5100</v>
      </c>
      <c r="E245" s="151">
        <v>5100</v>
      </c>
    </row>
    <row r="246" spans="1:5" ht="38.25">
      <c r="A246" s="150" t="s">
        <v>1124</v>
      </c>
      <c r="B246" s="151">
        <v>1750</v>
      </c>
      <c r="C246" s="151">
        <v>1490</v>
      </c>
      <c r="D246" s="151">
        <v>1490</v>
      </c>
      <c r="E246" s="151">
        <v>1490</v>
      </c>
    </row>
    <row r="247" spans="1:5">
      <c r="A247" s="150" t="s">
        <v>1125</v>
      </c>
      <c r="B247" s="151">
        <v>2330</v>
      </c>
      <c r="C247" s="151">
        <v>2610</v>
      </c>
      <c r="D247" s="151">
        <v>2610</v>
      </c>
      <c r="E247" s="151">
        <v>2630</v>
      </c>
    </row>
    <row r="248" spans="1:5">
      <c r="A248" s="150" t="s">
        <v>1237</v>
      </c>
      <c r="B248" s="151">
        <v>8250</v>
      </c>
      <c r="C248" s="151">
        <v>8000</v>
      </c>
      <c r="D248" s="151">
        <v>8000</v>
      </c>
      <c r="E248" s="151">
        <v>7990</v>
      </c>
    </row>
    <row r="249" spans="1:5">
      <c r="A249" s="150" t="s">
        <v>1238</v>
      </c>
      <c r="B249" s="151">
        <v>32600</v>
      </c>
      <c r="C249" s="151">
        <v>23700</v>
      </c>
      <c r="D249" s="151">
        <v>23700</v>
      </c>
      <c r="E249" s="151">
        <v>23700</v>
      </c>
    </row>
    <row r="250" spans="1:5">
      <c r="A250" s="142" t="s">
        <v>646</v>
      </c>
      <c r="B250" s="143">
        <f>SUM(B239:B249)</f>
        <v>121838.56</v>
      </c>
      <c r="C250" s="143">
        <f>SUM(C239:C249)</f>
        <v>103532.42</v>
      </c>
      <c r="D250" s="143">
        <f>SUM(D239:D249)</f>
        <v>103532.42</v>
      </c>
      <c r="E250" s="143">
        <f>SUM(E239:E249)</f>
        <v>103641.51999999999</v>
      </c>
    </row>
    <row r="251" spans="1:5" ht="25.5">
      <c r="A251" s="150" t="s">
        <v>52</v>
      </c>
      <c r="B251" s="151">
        <v>122000</v>
      </c>
      <c r="C251" s="151">
        <v>104000</v>
      </c>
      <c r="D251" s="151">
        <v>104000</v>
      </c>
      <c r="E251" s="151">
        <v>104000</v>
      </c>
    </row>
    <row r="252" spans="1:5" ht="15">
      <c r="A252" s="344" t="s">
        <v>813</v>
      </c>
      <c r="B252" s="345"/>
      <c r="C252" s="345"/>
      <c r="D252" s="345"/>
      <c r="E252" s="345"/>
    </row>
    <row r="253" spans="1:5" ht="25.5">
      <c r="A253" s="150" t="s">
        <v>1218</v>
      </c>
      <c r="B253" s="168" t="s">
        <v>814</v>
      </c>
      <c r="C253" s="168" t="s">
        <v>815</v>
      </c>
      <c r="D253" s="168" t="s">
        <v>816</v>
      </c>
      <c r="E253" s="168" t="s">
        <v>809</v>
      </c>
    </row>
    <row r="254" spans="1:5">
      <c r="A254" s="150" t="s">
        <v>8</v>
      </c>
      <c r="B254" s="151">
        <v>0</v>
      </c>
      <c r="C254" s="151">
        <v>0</v>
      </c>
      <c r="D254" s="151">
        <v>0</v>
      </c>
      <c r="E254" s="151">
        <v>0</v>
      </c>
    </row>
    <row r="255" spans="1:5">
      <c r="A255" s="150" t="s">
        <v>78</v>
      </c>
      <c r="B255" s="151">
        <v>0</v>
      </c>
      <c r="C255" s="151">
        <v>0</v>
      </c>
      <c r="D255" s="151">
        <v>0</v>
      </c>
      <c r="E255" s="151">
        <v>0</v>
      </c>
    </row>
    <row r="256" spans="1:5" ht="25.5">
      <c r="A256" s="150" t="s">
        <v>79</v>
      </c>
      <c r="B256" s="151">
        <v>0</v>
      </c>
      <c r="C256" s="151">
        <v>0</v>
      </c>
      <c r="D256" s="151">
        <v>0</v>
      </c>
      <c r="E256" s="151">
        <v>0</v>
      </c>
    </row>
    <row r="257" spans="1:5" ht="25.5">
      <c r="A257" s="162" t="s">
        <v>86</v>
      </c>
      <c r="B257" s="150">
        <v>440</v>
      </c>
      <c r="C257" s="150">
        <v>440</v>
      </c>
      <c r="D257" s="150">
        <v>440</v>
      </c>
      <c r="E257" s="150">
        <v>440</v>
      </c>
    </row>
    <row r="258" spans="1:5">
      <c r="A258" s="150" t="s">
        <v>11</v>
      </c>
      <c r="B258" s="150">
        <v>0</v>
      </c>
      <c r="C258" s="150">
        <v>0</v>
      </c>
      <c r="D258" s="150">
        <v>0</v>
      </c>
      <c r="E258" s="150">
        <v>0</v>
      </c>
    </row>
    <row r="259" spans="1:5">
      <c r="A259" s="150" t="s">
        <v>87</v>
      </c>
      <c r="B259" s="151">
        <v>0</v>
      </c>
      <c r="C259" s="151">
        <v>0</v>
      </c>
      <c r="D259" s="151">
        <v>0</v>
      </c>
      <c r="E259" s="151">
        <v>0</v>
      </c>
    </row>
    <row r="260" spans="1:5">
      <c r="A260" s="150" t="s">
        <v>88</v>
      </c>
      <c r="B260" s="150">
        <v>0</v>
      </c>
      <c r="C260" s="150">
        <v>0</v>
      </c>
      <c r="D260" s="150">
        <v>0</v>
      </c>
      <c r="E260" s="150">
        <v>0</v>
      </c>
    </row>
    <row r="261" spans="1:5" ht="25.5">
      <c r="A261" s="150" t="s">
        <v>89</v>
      </c>
      <c r="B261" s="150">
        <v>0</v>
      </c>
      <c r="C261" s="150">
        <v>0</v>
      </c>
      <c r="D261" s="150">
        <v>0</v>
      </c>
      <c r="E261" s="150">
        <v>0</v>
      </c>
    </row>
    <row r="262" spans="1:5" ht="38.25">
      <c r="A262" s="150" t="s">
        <v>90</v>
      </c>
      <c r="B262" s="150">
        <v>0</v>
      </c>
      <c r="C262" s="150">
        <v>0</v>
      </c>
      <c r="D262" s="150">
        <v>0</v>
      </c>
      <c r="E262" s="150">
        <v>0</v>
      </c>
    </row>
    <row r="263" spans="1:5">
      <c r="A263" s="150" t="s">
        <v>1182</v>
      </c>
      <c r="B263" s="151">
        <v>101000</v>
      </c>
      <c r="C263" s="151">
        <v>101000</v>
      </c>
      <c r="D263" s="151">
        <v>101000</v>
      </c>
      <c r="E263" s="151">
        <v>101000</v>
      </c>
    </row>
    <row r="264" spans="1:5">
      <c r="A264" s="150" t="s">
        <v>1224</v>
      </c>
      <c r="B264" s="151">
        <v>2280</v>
      </c>
      <c r="C264" s="151">
        <v>2770</v>
      </c>
      <c r="D264" s="151">
        <v>3310</v>
      </c>
      <c r="E264" s="151">
        <v>2280</v>
      </c>
    </row>
    <row r="265" spans="1:5">
      <c r="A265" s="150" t="s">
        <v>91</v>
      </c>
      <c r="B265" s="151">
        <v>16700</v>
      </c>
      <c r="C265" s="151">
        <v>20300</v>
      </c>
      <c r="D265" s="151">
        <v>24300</v>
      </c>
      <c r="E265" s="151">
        <v>18400</v>
      </c>
    </row>
    <row r="266" spans="1:5">
      <c r="A266" s="142" t="s">
        <v>646</v>
      </c>
      <c r="B266" s="143">
        <f>SUM(B254:B265)</f>
        <v>120420</v>
      </c>
      <c r="C266" s="143">
        <f>SUM(C254:C265)</f>
        <v>124510</v>
      </c>
      <c r="D266" s="143">
        <f>SUM(D254:D265)</f>
        <v>129050</v>
      </c>
      <c r="E266" s="143">
        <f>SUM(E254:E265)</f>
        <v>122120</v>
      </c>
    </row>
    <row r="267" spans="1:5" ht="25.5">
      <c r="A267" s="150" t="s">
        <v>52</v>
      </c>
      <c r="B267" s="151">
        <v>120000</v>
      </c>
      <c r="C267" s="151">
        <v>124000</v>
      </c>
      <c r="D267" s="151">
        <v>129000</v>
      </c>
      <c r="E267" s="151">
        <v>122000</v>
      </c>
    </row>
    <row r="268" spans="1:5" ht="24.75" customHeight="1">
      <c r="A268" s="344" t="s">
        <v>817</v>
      </c>
      <c r="B268" s="345"/>
      <c r="C268" s="345"/>
      <c r="D268" s="345"/>
      <c r="E268" s="345"/>
    </row>
    <row r="269" spans="1:5" ht="25.5">
      <c r="A269" s="150" t="s">
        <v>430</v>
      </c>
      <c r="B269" s="168" t="s">
        <v>814</v>
      </c>
      <c r="C269" s="168" t="s">
        <v>815</v>
      </c>
      <c r="D269" s="168" t="s">
        <v>816</v>
      </c>
      <c r="E269" s="168" t="s">
        <v>809</v>
      </c>
    </row>
    <row r="270" spans="1:5">
      <c r="A270" s="150" t="s">
        <v>108</v>
      </c>
      <c r="B270" s="170">
        <v>20.5</v>
      </c>
      <c r="C270" s="170">
        <v>20.6</v>
      </c>
      <c r="D270" s="170">
        <v>20.7</v>
      </c>
      <c r="E270" s="170">
        <v>21.6</v>
      </c>
    </row>
    <row r="271" spans="1:5" ht="25.5">
      <c r="A271" s="150" t="s">
        <v>109</v>
      </c>
      <c r="B271" s="170">
        <v>0.124</v>
      </c>
      <c r="C271" s="170">
        <v>0.128</v>
      </c>
      <c r="D271" s="170">
        <v>0.13200000000000001</v>
      </c>
      <c r="E271" s="170">
        <v>0.126</v>
      </c>
    </row>
    <row r="272" spans="1:5" ht="25.5">
      <c r="A272" s="150" t="s">
        <v>1188</v>
      </c>
      <c r="B272" s="170">
        <v>119</v>
      </c>
      <c r="C272" s="170">
        <v>123</v>
      </c>
      <c r="D272" s="170">
        <v>127</v>
      </c>
      <c r="E272" s="170">
        <v>121</v>
      </c>
    </row>
    <row r="273" spans="1:5" ht="25.5">
      <c r="A273" s="150" t="s">
        <v>1189</v>
      </c>
      <c r="B273" s="170">
        <v>44.7</v>
      </c>
      <c r="C273" s="170">
        <v>47.9</v>
      </c>
      <c r="D273" s="170">
        <v>51.6</v>
      </c>
      <c r="E273" s="170">
        <v>35.1</v>
      </c>
    </row>
    <row r="274" spans="1:5">
      <c r="A274" s="150" t="s">
        <v>107</v>
      </c>
      <c r="B274" s="170">
        <v>0.65500000000000003</v>
      </c>
      <c r="C274" s="170">
        <v>0.66500000000000004</v>
      </c>
      <c r="D274" s="170">
        <v>0.67600000000000005</v>
      </c>
      <c r="E274" s="170">
        <v>0.65200000000000002</v>
      </c>
    </row>
    <row r="275" spans="1:5">
      <c r="A275" s="150" t="s">
        <v>1187</v>
      </c>
      <c r="B275" s="170">
        <v>1.04E-2</v>
      </c>
      <c r="C275" s="170">
        <v>1.09E-2</v>
      </c>
      <c r="D275" s="170">
        <v>1.14E-2</v>
      </c>
      <c r="E275" s="170">
        <v>0.184</v>
      </c>
    </row>
    <row r="276" spans="1:5">
      <c r="A276" s="150" t="s">
        <v>1234</v>
      </c>
      <c r="B276" s="170">
        <v>13</v>
      </c>
      <c r="C276" s="170">
        <v>13.1</v>
      </c>
      <c r="D276" s="170">
        <v>13.1</v>
      </c>
      <c r="E276" s="170">
        <v>13.5</v>
      </c>
    </row>
    <row r="277" spans="1:5" ht="38.25">
      <c r="A277" s="150" t="s">
        <v>1124</v>
      </c>
      <c r="B277" s="170">
        <v>4.6100000000000003</v>
      </c>
      <c r="C277" s="170">
        <v>4.83</v>
      </c>
      <c r="D277" s="170">
        <v>5.08</v>
      </c>
      <c r="E277" s="170">
        <v>4.33</v>
      </c>
    </row>
    <row r="278" spans="1:5">
      <c r="A278" s="150" t="s">
        <v>1125</v>
      </c>
      <c r="B278" s="170">
        <v>6.78</v>
      </c>
      <c r="C278" s="170">
        <v>6.84</v>
      </c>
      <c r="D278" s="170">
        <v>6.92</v>
      </c>
      <c r="E278" s="170">
        <v>5.82</v>
      </c>
    </row>
    <row r="279" spans="1:5">
      <c r="A279" s="150" t="s">
        <v>1237</v>
      </c>
      <c r="B279" s="170">
        <v>40.299999999999997</v>
      </c>
      <c r="C279" s="170">
        <v>40.4</v>
      </c>
      <c r="D279" s="170">
        <v>40.5</v>
      </c>
      <c r="E279" s="170">
        <v>41.2</v>
      </c>
    </row>
    <row r="280" spans="1:5">
      <c r="A280" s="150" t="s">
        <v>1238</v>
      </c>
      <c r="B280" s="170">
        <v>141</v>
      </c>
      <c r="C280" s="170">
        <v>147</v>
      </c>
      <c r="D280" s="170">
        <v>153</v>
      </c>
      <c r="E280" s="170">
        <v>163</v>
      </c>
    </row>
    <row r="281" spans="1:5" ht="15">
      <c r="A281" s="344" t="s">
        <v>818</v>
      </c>
      <c r="B281" s="345"/>
      <c r="C281" s="345"/>
      <c r="D281" s="345"/>
      <c r="E281" s="345"/>
    </row>
    <row r="282" spans="1:5" ht="25.5">
      <c r="A282" s="150" t="s">
        <v>430</v>
      </c>
      <c r="B282" s="168" t="s">
        <v>814</v>
      </c>
      <c r="C282" s="168" t="s">
        <v>815</v>
      </c>
      <c r="D282" s="168" t="s">
        <v>816</v>
      </c>
      <c r="E282" s="168" t="s">
        <v>809</v>
      </c>
    </row>
    <row r="283" spans="1:5">
      <c r="A283" s="150" t="s">
        <v>108</v>
      </c>
      <c r="B283" s="151">
        <v>8190</v>
      </c>
      <c r="C283" s="151">
        <v>8230</v>
      </c>
      <c r="D283" s="151">
        <v>8270</v>
      </c>
      <c r="E283" s="151">
        <v>8510</v>
      </c>
    </row>
    <row r="284" spans="1:5" ht="25.5">
      <c r="A284" s="150" t="s">
        <v>109</v>
      </c>
      <c r="B284" s="150">
        <v>49.5</v>
      </c>
      <c r="C284" s="150">
        <v>51.1</v>
      </c>
      <c r="D284" s="150">
        <v>52.9</v>
      </c>
      <c r="E284" s="150">
        <v>50.2</v>
      </c>
    </row>
    <row r="285" spans="1:5" ht="25.5">
      <c r="A285" s="150" t="s">
        <v>1188</v>
      </c>
      <c r="B285" s="151">
        <v>47600</v>
      </c>
      <c r="C285" s="151">
        <v>49000</v>
      </c>
      <c r="D285" s="151">
        <v>50600</v>
      </c>
      <c r="E285" s="151">
        <v>48600</v>
      </c>
    </row>
    <row r="286" spans="1:5" ht="25.5">
      <c r="A286" s="150" t="s">
        <v>1189</v>
      </c>
      <c r="B286" s="151">
        <v>17900</v>
      </c>
      <c r="C286" s="151">
        <v>19200</v>
      </c>
      <c r="D286" s="151">
        <v>20600</v>
      </c>
      <c r="E286" s="151">
        <v>14100</v>
      </c>
    </row>
    <row r="287" spans="1:5">
      <c r="A287" s="150" t="s">
        <v>107</v>
      </c>
      <c r="B287" s="150">
        <v>262</v>
      </c>
      <c r="C287" s="150">
        <v>266</v>
      </c>
      <c r="D287" s="150">
        <v>271</v>
      </c>
      <c r="E287" s="150">
        <v>261</v>
      </c>
    </row>
    <row r="288" spans="1:5">
      <c r="A288" s="150" t="s">
        <v>1187</v>
      </c>
      <c r="B288" s="150">
        <v>4.16</v>
      </c>
      <c r="C288" s="150">
        <v>4.34</v>
      </c>
      <c r="D288" s="150">
        <v>4.54</v>
      </c>
      <c r="E288" s="150">
        <v>7.36</v>
      </c>
    </row>
    <row r="289" spans="1:5">
      <c r="A289" s="150" t="s">
        <v>1234</v>
      </c>
      <c r="B289" s="151">
        <v>5200</v>
      </c>
      <c r="C289" s="151">
        <v>5220</v>
      </c>
      <c r="D289" s="151">
        <v>5250</v>
      </c>
      <c r="E289" s="151">
        <v>5380</v>
      </c>
    </row>
    <row r="290" spans="1:5" ht="38.25">
      <c r="A290" s="150" t="s">
        <v>1124</v>
      </c>
      <c r="B290" s="151">
        <v>1840</v>
      </c>
      <c r="C290" s="151">
        <v>1930</v>
      </c>
      <c r="D290" s="151">
        <v>2030</v>
      </c>
      <c r="E290" s="151">
        <v>1750</v>
      </c>
    </row>
    <row r="291" spans="1:5">
      <c r="A291" s="150" t="s">
        <v>1125</v>
      </c>
      <c r="B291" s="151">
        <v>2710</v>
      </c>
      <c r="C291" s="151">
        <v>2740</v>
      </c>
      <c r="D291" s="151">
        <v>2770</v>
      </c>
      <c r="E291" s="151">
        <v>2330</v>
      </c>
    </row>
    <row r="292" spans="1:5">
      <c r="A292" s="150" t="s">
        <v>1237</v>
      </c>
      <c r="B292" s="151">
        <v>8060</v>
      </c>
      <c r="C292" s="151">
        <v>8080</v>
      </c>
      <c r="D292" s="151">
        <v>8100</v>
      </c>
      <c r="E292" s="151">
        <v>8250</v>
      </c>
    </row>
    <row r="293" spans="1:5">
      <c r="A293" s="150" t="s">
        <v>1238</v>
      </c>
      <c r="B293" s="151">
        <v>28300</v>
      </c>
      <c r="C293" s="151">
        <v>29400</v>
      </c>
      <c r="D293" s="151">
        <v>30700</v>
      </c>
      <c r="E293" s="151">
        <v>32600</v>
      </c>
    </row>
    <row r="294" spans="1:5">
      <c r="A294" s="142" t="s">
        <v>646</v>
      </c>
      <c r="B294" s="143">
        <f>SUM(B283:B293)</f>
        <v>120115.66</v>
      </c>
      <c r="C294" s="143">
        <f>SUM(C283:C293)</f>
        <v>124121.44</v>
      </c>
      <c r="D294" s="143">
        <f>SUM(D283:D293)</f>
        <v>128648.43999999999</v>
      </c>
      <c r="E294" s="143">
        <f>SUM(E283:E293)</f>
        <v>121838.56</v>
      </c>
    </row>
    <row r="295" spans="1:5" ht="25.5">
      <c r="A295" s="150" t="s">
        <v>52</v>
      </c>
      <c r="B295" s="151">
        <v>120000</v>
      </c>
      <c r="C295" s="151">
        <v>124000</v>
      </c>
      <c r="D295" s="151">
        <v>129000</v>
      </c>
      <c r="E295" s="151">
        <v>122000</v>
      </c>
    </row>
  </sheetData>
  <mergeCells count="19">
    <mergeCell ref="A149:E149"/>
    <mergeCell ref="A164:E164"/>
    <mergeCell ref="A180:E180"/>
    <mergeCell ref="A281:E281"/>
    <mergeCell ref="A208:E208"/>
    <mergeCell ref="A224:E224"/>
    <mergeCell ref="A237:E237"/>
    <mergeCell ref="A252:E252"/>
    <mergeCell ref="A268:E268"/>
    <mergeCell ref="A193:E193"/>
    <mergeCell ref="A76:E76"/>
    <mergeCell ref="A17:F17"/>
    <mergeCell ref="A32:F32"/>
    <mergeCell ref="A48:F48"/>
    <mergeCell ref="A61:F61"/>
    <mergeCell ref="A136:E136"/>
    <mergeCell ref="A92:E92"/>
    <mergeCell ref="A105:E105"/>
    <mergeCell ref="A120:E120"/>
  </mergeCells>
  <phoneticPr fontId="5" type="noConversion"/>
  <pageMargins left="0.75" right="0.75" top="1" bottom="1" header="0.5" footer="0.5"/>
  <rowBreaks count="5" manualBreakCount="5">
    <brk id="75" max="16383" man="1"/>
    <brk id="119" max="16383" man="1"/>
    <brk id="163" max="16383" man="1"/>
    <brk id="207" max="16383" man="1"/>
    <brk id="25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General metal graphs</vt:lpstr>
      <vt:lpstr>UK Distances</vt:lpstr>
      <vt:lpstr>Scottish Distances</vt:lpstr>
      <vt:lpstr>Diesel Costs and Dashboard Data</vt:lpstr>
      <vt:lpstr>Waste by Sites</vt:lpstr>
      <vt:lpstr>Activated Metal</vt:lpstr>
      <vt:lpstr>WAGR Steels Results</vt:lpstr>
      <vt:lpstr>WAGR Container Results</vt:lpstr>
      <vt:lpstr>WAGR Disposal Results</vt:lpstr>
      <vt:lpstr>WAGR Reference Results</vt:lpstr>
      <vt:lpstr>WAGR  Other Inter'l Results</vt:lpstr>
      <vt:lpstr>WAGR Recycling Variations</vt:lpstr>
      <vt:lpstr>WAGR Transport</vt:lpstr>
      <vt:lpstr>Invnetory Study Results</vt:lpstr>
      <vt:lpstr>Inventory Study Costs</vt:lpstr>
      <vt:lpstr>DNLEU Results</vt:lpstr>
      <vt:lpstr>'General metal graphs'!Print_Area</vt:lpstr>
      <vt:lpstr>'Invnetory Study Results'!Print_Area</vt:lpstr>
      <vt:lpstr>'UK Distances'!Print_Area</vt:lpstr>
      <vt:lpstr>'WAGR Recycling Variations'!Print_Area</vt:lpstr>
      <vt:lpstr>'WAGR Reference Results'!Print_Area</vt:lpstr>
      <vt:lpstr>'Waste by Sites'!Print_Area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Strathclyde Standard Desktop</dc:creator>
  <cp:lastModifiedBy>qwb09196</cp:lastModifiedBy>
  <cp:lastPrinted>2015-03-17T13:00:20Z</cp:lastPrinted>
  <dcterms:created xsi:type="dcterms:W3CDTF">2009-11-27T11:05:55Z</dcterms:created>
  <dcterms:modified xsi:type="dcterms:W3CDTF">2015-06-12T09:31:34Z</dcterms:modified>
</cp:coreProperties>
</file>